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/comment1.xml" ContentType="application/vnd.openxmlformats-officedocument.spreadsheetml.comments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worksheets/sheet5.xml" ContentType="application/vnd.openxmlformats-officedocument.spreadsheetml.worksheet+xml"/>
  <Override PartName="/xl/drawings/drawing3.xml" ContentType="application/vnd.openxmlformats-officedocument.drawing+xml"/>
  <Override PartName="/xl/worksheets/sheet6.xml" ContentType="application/vnd.openxmlformats-officedocument.spreadsheetml.worksheet+xml"/>
  <Override PartName="/xl/drawings/drawing4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500" firstSheet="0" activeTab="4" autoFilterDateGrouping="1"/>
  </bookViews>
  <sheets>
    <sheet xmlns:r="http://schemas.openxmlformats.org/officeDocument/2006/relationships" name="Notes" sheetId="1" state="visible" r:id="rId1"/>
    <sheet xmlns:r="http://schemas.openxmlformats.org/officeDocument/2006/relationships" name="Summary" sheetId="2" state="visible" r:id="rId2"/>
    <sheet xmlns:r="http://schemas.openxmlformats.org/officeDocument/2006/relationships" name="Input" sheetId="3" state="visible" r:id="rId3"/>
    <sheet xmlns:r="http://schemas.openxmlformats.org/officeDocument/2006/relationships" name="Purlin" sheetId="4" state="visible" r:id="rId4"/>
    <sheet xmlns:r="http://schemas.openxmlformats.org/officeDocument/2006/relationships" name="Girt" sheetId="5" state="visible" r:id="rId5"/>
    <sheet xmlns:r="http://schemas.openxmlformats.org/officeDocument/2006/relationships" name="Hand Calc" sheetId="6" state="visible" r:id="rId6"/>
  </sheets>
  <definedNames/>
  <calcPr calcId="191029" fullCalcOnLoad="1" iterateDelta="0.0001"/>
</workbook>
</file>

<file path=xl/styles.xml><?xml version="1.0" encoding="utf-8"?>
<styleSheet xmlns="http://schemas.openxmlformats.org/spreadsheetml/2006/main">
  <numFmts count="7">
    <numFmt numFmtId="164" formatCode="0.000"/>
    <numFmt numFmtId="165" formatCode="0.###E+00"/>
    <numFmt numFmtId="166" formatCode="#,##0.0"/>
    <numFmt numFmtId="167" formatCode="0.0,,"/>
    <numFmt numFmtId="168" formatCode="0.0,"/>
    <numFmt numFmtId="169" formatCode="0.0"/>
    <numFmt numFmtId="170" formatCode="0.0000"/>
  </numFmts>
  <fonts count="30">
    <font>
      <name val="Calibri"/>
      <charset val="1"/>
      <family val="2"/>
      <color theme="1"/>
      <sz val="11"/>
    </font>
    <font>
      <name val="Arial"/>
      <family val="2"/>
      <sz val="10"/>
    </font>
    <font>
      <name val="Arial"/>
      <family val="2"/>
      <b val="1"/>
      <color rgb="FFFFFFFF"/>
      <sz val="12"/>
    </font>
    <font>
      <name val="Arial"/>
      <family val="2"/>
      <b val="1"/>
      <color rgb="FF000000"/>
      <sz val="10"/>
    </font>
    <font>
      <name val="Arial"/>
      <family val="2"/>
      <color rgb="FF000000"/>
      <sz val="10"/>
    </font>
    <font>
      <name val="Arial"/>
      <family val="2"/>
      <color rgb="FFC00000"/>
      <sz val="10"/>
    </font>
    <font>
      <name val="Arial"/>
      <family val="2"/>
      <color rgb="FF0000CC"/>
      <sz val="10"/>
    </font>
    <font>
      <name val="Arial"/>
      <family val="2"/>
      <i val="1"/>
      <color rgb="FF808080"/>
      <sz val="9"/>
    </font>
    <font>
      <name val="Arial"/>
      <family val="2"/>
      <i val="1"/>
      <color rgb="FF000000"/>
      <sz val="9"/>
    </font>
    <font>
      <name val="Arial"/>
      <family val="2"/>
      <b val="1"/>
      <color rgb="FFFFFFFF"/>
      <sz val="10"/>
    </font>
    <font>
      <name val="Arial"/>
      <family val="2"/>
      <b val="1"/>
      <color rgb="FF000000"/>
      <sz val="12"/>
    </font>
    <font>
      <name val="Arial"/>
      <family val="2"/>
      <i val="1"/>
      <color rgb="FFC00000"/>
      <sz val="9"/>
    </font>
    <font>
      <name val="Arial"/>
      <family val="2"/>
      <b val="1"/>
      <color rgb="FF000000"/>
      <sz val="11"/>
    </font>
    <font>
      <name val="Arial"/>
      <family val="2"/>
      <b val="1"/>
      <color rgb="FF0000CC"/>
      <sz val="11"/>
    </font>
    <font>
      <name val="Arial"/>
      <family val="2"/>
      <color rgb="FF808080"/>
      <sz val="9"/>
    </font>
    <font>
      <name val="Arial"/>
      <family val="2"/>
      <b val="1"/>
      <color rgb="FFFFFFFF"/>
      <sz val="11"/>
    </font>
    <font>
      <name val="Arial"/>
      <family val="2"/>
      <color rgb="FF000000"/>
      <sz val="9"/>
    </font>
    <font>
      <name val="Arial"/>
      <family val="2"/>
      <i val="1"/>
      <color rgb="FF1F3864"/>
      <sz val="9"/>
    </font>
    <font>
      <name val="Arial"/>
      <family val="2"/>
      <b val="1"/>
      <color rgb="FFFFFFFF"/>
      <sz val="9"/>
    </font>
    <font>
      <name val="Arial"/>
      <family val="2"/>
      <i val="1"/>
      <color rgb="FF808080"/>
      <sz val="8"/>
    </font>
    <font>
      <name val="Arial"/>
      <family val="2"/>
      <b val="1"/>
      <color rgb="FF000000"/>
      <sz val="9"/>
    </font>
    <font>
      <name val="Arial"/>
      <b val="1"/>
      <color rgb="00FFFFFF"/>
      <sz val="13"/>
    </font>
    <font>
      <name val="Arial"/>
      <i val="1"/>
      <sz val="9"/>
    </font>
    <font>
      <name val="Arial"/>
      <b val="1"/>
      <sz val="10"/>
    </font>
    <font>
      <name val="Arial"/>
      <b val="1"/>
      <color rgb="00FFFFFF"/>
      <sz val="9"/>
    </font>
    <font>
      <name val="Arial"/>
      <sz val="10"/>
    </font>
    <font>
      <name val="Consolas"/>
      <sz val="10"/>
    </font>
    <font>
      <name val="Consolas"/>
      <b val="1"/>
      <sz val="10"/>
    </font>
    <font>
      <name val="Arial"/>
      <color rgb="00595959"/>
      <sz val="9"/>
    </font>
    <font>
      <name val="Arial"/>
      <b val="1"/>
      <color rgb="00008000"/>
    </font>
  </fonts>
  <fills count="10">
    <fill>
      <patternFill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D6DCE5"/>
        <bgColor rgb="FFE2EFDA"/>
      </patternFill>
    </fill>
    <fill>
      <patternFill patternType="solid">
        <fgColor rgb="FFFFF2CC"/>
        <bgColor rgb="FFFCE4D6"/>
      </patternFill>
    </fill>
    <fill>
      <patternFill patternType="solid">
        <fgColor rgb="FFE2EFDA"/>
        <bgColor rgb="FFD6DCE5"/>
      </patternFill>
    </fill>
    <fill>
      <patternFill patternType="solid">
        <fgColor rgb="FFFCE4D6"/>
        <bgColor rgb="FFFFF2CC"/>
      </patternFill>
    </fill>
    <fill>
      <patternFill patternType="solid">
        <fgColor rgb="001F3864"/>
      </patternFill>
    </fill>
    <fill>
      <patternFill patternType="solid">
        <fgColor rgb="00D6DCE5"/>
      </patternFill>
    </fill>
    <fill>
      <patternFill patternType="solid">
        <fgColor rgb="002F5597"/>
      </patternFill>
    </fill>
  </fills>
  <borders count="4">
    <border>
      <left/>
      <right/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80">
    <xf numFmtId="0" fontId="0" fillId="0" borderId="0" pivotButton="0" quotePrefix="0" xfId="0"/>
    <xf numFmtId="0" fontId="7" fillId="0" borderId="0" applyAlignment="1" pivotButton="0" quotePrefix="0" xfId="0">
      <alignment horizontal="left" vertical="center" wrapText="1"/>
    </xf>
    <xf numFmtId="0" fontId="4" fillId="0" borderId="0" applyAlignment="1" pivotButton="0" quotePrefix="0" xfId="0">
      <alignment horizontal="left" vertical="center" wrapText="1"/>
    </xf>
    <xf numFmtId="0" fontId="5" fillId="0" borderId="0" applyAlignment="1" pivotButton="0" quotePrefix="0" xfId="0">
      <alignment horizontal="left" vertical="center" wrapText="1"/>
    </xf>
    <xf numFmtId="0" fontId="3" fillId="0" borderId="0" applyAlignment="1" pivotButton="0" quotePrefix="0" xfId="0">
      <alignment horizontal="left" vertical="center" wrapText="1"/>
    </xf>
    <xf numFmtId="0" fontId="6" fillId="4" borderId="0" pivotButton="0" quotePrefix="0" xfId="0"/>
    <xf numFmtId="0" fontId="4" fillId="0" borderId="0" pivotButton="0" quotePrefix="0" xfId="0"/>
    <xf numFmtId="0" fontId="0" fillId="5" borderId="0" pivotButton="0" quotePrefix="0" xfId="0"/>
    <xf numFmtId="0" fontId="0" fillId="6" borderId="0" pivotButton="0" quotePrefix="0" xfId="0"/>
    <xf numFmtId="0" fontId="8" fillId="0" borderId="0" pivotButton="0" quotePrefix="0" xfId="0"/>
    <xf numFmtId="0" fontId="3" fillId="0" borderId="0" pivotButton="0" quotePrefix="0" xfId="0"/>
    <xf numFmtId="0" fontId="9" fillId="2" borderId="0" applyAlignment="1" pivotButton="0" quotePrefix="0" xfId="0">
      <alignment horizontal="center"/>
    </xf>
    <xf numFmtId="1" fontId="4" fillId="0" borderId="0" applyAlignment="1" pivotButton="0" quotePrefix="0" xfId="0">
      <alignment horizontal="center"/>
    </xf>
    <xf numFmtId="164" fontId="4" fillId="0" borderId="0" applyAlignment="1" pivotButton="0" quotePrefix="0" xfId="0">
      <alignment horizontal="center"/>
    </xf>
    <xf numFmtId="0" fontId="4" fillId="0" borderId="0" applyAlignment="1" pivotButton="0" quotePrefix="0" xfId="0">
      <alignment horizontal="center"/>
    </xf>
    <xf numFmtId="0" fontId="10" fillId="6" borderId="0" applyAlignment="1" pivotButton="0" quotePrefix="0" xfId="0">
      <alignment horizontal="center"/>
    </xf>
    <xf numFmtId="0" fontId="7" fillId="0" borderId="0" pivotButton="0" quotePrefix="0" xfId="0"/>
    <xf numFmtId="0" fontId="11" fillId="0" borderId="0" pivotButton="0" quotePrefix="0" xfId="0"/>
    <xf numFmtId="0" fontId="12" fillId="0" borderId="0" pivotButton="0" quotePrefix="0" xfId="0"/>
    <xf numFmtId="0" fontId="13" fillId="4" borderId="1" applyAlignment="1" pivotButton="0" quotePrefix="0" xfId="0">
      <alignment horizontal="center"/>
    </xf>
    <xf numFmtId="0" fontId="6" fillId="4" borderId="2" applyAlignment="1" pivotButton="0" quotePrefix="0" xfId="0">
      <alignment horizontal="center"/>
    </xf>
    <xf numFmtId="0" fontId="8" fillId="0" borderId="0" applyAlignment="1" pivotButton="0" quotePrefix="0" xfId="0">
      <alignment horizontal="center"/>
    </xf>
    <xf numFmtId="0" fontId="14" fillId="0" borderId="0" applyAlignment="1" pivotButton="0" quotePrefix="0" xfId="0">
      <alignment horizontal="center"/>
    </xf>
    <xf numFmtId="0" fontId="16" fillId="0" borderId="0" pivotButton="0" quotePrefix="0" xfId="0"/>
    <xf numFmtId="165" fontId="14" fillId="0" borderId="0" applyAlignment="1" pivotButton="0" quotePrefix="0" xfId="0">
      <alignment horizontal="center"/>
    </xf>
    <xf numFmtId="4" fontId="4" fillId="0" borderId="0" applyAlignment="1" pivotButton="0" quotePrefix="0" xfId="0">
      <alignment horizontal="center"/>
    </xf>
    <xf numFmtId="0" fontId="17" fillId="0" borderId="0" applyAlignment="1" pivotButton="0" quotePrefix="0" xfId="0">
      <alignment horizontal="left" vertical="center" wrapText="1"/>
    </xf>
    <xf numFmtId="166" fontId="4" fillId="0" borderId="0" applyAlignment="1" pivotButton="0" quotePrefix="0" xfId="0">
      <alignment horizontal="center"/>
    </xf>
    <xf numFmtId="1" fontId="3" fillId="5" borderId="0" applyAlignment="1" pivotButton="0" quotePrefix="0" xfId="0">
      <alignment horizontal="center"/>
    </xf>
    <xf numFmtId="0" fontId="4" fillId="5" borderId="0" pivotButton="0" quotePrefix="0" xfId="0"/>
    <xf numFmtId="165" fontId="14" fillId="5" borderId="0" applyAlignment="1" pivotButton="0" quotePrefix="0" xfId="0">
      <alignment horizontal="center"/>
    </xf>
    <xf numFmtId="4" fontId="4" fillId="5" borderId="0" applyAlignment="1" pivotButton="0" quotePrefix="0" xfId="0">
      <alignment horizontal="center"/>
    </xf>
    <xf numFmtId="0" fontId="8" fillId="5" borderId="0" applyAlignment="1" pivotButton="0" quotePrefix="0" xfId="0">
      <alignment horizontal="center"/>
    </xf>
    <xf numFmtId="3" fontId="4" fillId="0" borderId="0" applyAlignment="1" pivotButton="0" quotePrefix="0" xfId="0">
      <alignment horizontal="center"/>
    </xf>
    <xf numFmtId="0" fontId="18" fillId="2" borderId="0" applyAlignment="1" pivotButton="0" quotePrefix="0" xfId="0">
      <alignment horizontal="center"/>
    </xf>
    <xf numFmtId="164" fontId="16" fillId="0" borderId="0" applyAlignment="1" pivotButton="0" quotePrefix="0" xfId="0">
      <alignment horizontal="center"/>
    </xf>
    <xf numFmtId="0" fontId="16" fillId="0" borderId="0" applyAlignment="1" pivotButton="0" quotePrefix="0" xfId="0">
      <alignment horizontal="left"/>
    </xf>
    <xf numFmtId="167" fontId="16" fillId="0" borderId="0" applyAlignment="1" pivotButton="0" quotePrefix="0" xfId="0">
      <alignment horizontal="center"/>
    </xf>
    <xf numFmtId="168" fontId="16" fillId="0" borderId="0" applyAlignment="1" pivotButton="0" quotePrefix="0" xfId="0">
      <alignment horizontal="center"/>
    </xf>
    <xf numFmtId="0" fontId="3" fillId="6" borderId="0" pivotButton="0" quotePrefix="0" xfId="0"/>
    <xf numFmtId="164" fontId="12" fillId="6" borderId="0" applyAlignment="1" pivotButton="0" quotePrefix="0" xfId="0">
      <alignment horizontal="center"/>
    </xf>
    <xf numFmtId="0" fontId="12" fillId="6" borderId="0" applyAlignment="1" pivotButton="0" quotePrefix="0" xfId="0">
      <alignment horizontal="center"/>
    </xf>
    <xf numFmtId="0" fontId="19" fillId="0" borderId="0" pivotButton="0" quotePrefix="0" xfId="0"/>
    <xf numFmtId="2" fontId="4" fillId="0" borderId="0" applyAlignment="1" pivotButton="0" quotePrefix="0" xfId="0">
      <alignment horizontal="center"/>
    </xf>
    <xf numFmtId="164" fontId="3" fillId="0" borderId="0" applyAlignment="1" pivotButton="0" quotePrefix="0" xfId="0">
      <alignment horizontal="center"/>
    </xf>
    <xf numFmtId="0" fontId="3" fillId="0" borderId="0" applyAlignment="1" pivotButton="0" quotePrefix="0" xfId="0">
      <alignment horizontal="center"/>
    </xf>
    <xf numFmtId="164" fontId="12" fillId="0" borderId="0" pivotButton="0" quotePrefix="0" xfId="0"/>
    <xf numFmtId="0" fontId="10" fillId="6" borderId="0" pivotButton="0" quotePrefix="0" xfId="0"/>
    <xf numFmtId="164" fontId="20" fillId="0" borderId="0" pivotButton="0" quotePrefix="0" xfId="0"/>
    <xf numFmtId="0" fontId="4" fillId="0" borderId="0" applyAlignment="1" pivotButton="0" quotePrefix="0" xfId="0">
      <alignment wrapText="1"/>
    </xf>
    <xf numFmtId="0" fontId="3" fillId="3" borderId="0" pivotButton="0" quotePrefix="0" xfId="0"/>
    <xf numFmtId="0" fontId="2" fillId="2" borderId="0" applyAlignment="1" pivotButton="0" quotePrefix="0" xfId="0">
      <alignment vertical="center"/>
    </xf>
    <xf numFmtId="0" fontId="4" fillId="0" borderId="0" applyAlignment="1" pivotButton="0" quotePrefix="0" xfId="0">
      <alignment horizontal="left" vertical="center" wrapText="1"/>
    </xf>
    <xf numFmtId="0" fontId="7" fillId="0" borderId="0" applyAlignment="1" pivotButton="0" quotePrefix="0" xfId="0">
      <alignment horizontal="left" vertical="center" wrapText="1"/>
    </xf>
    <xf numFmtId="0" fontId="15" fillId="2" borderId="0" applyAlignment="1" pivotButton="0" quotePrefix="0" xfId="0">
      <alignment vertical="center"/>
    </xf>
    <xf numFmtId="0" fontId="21" fillId="7" borderId="0" pivotButton="0" quotePrefix="0" xfId="0"/>
    <xf numFmtId="0" fontId="0" fillId="7" borderId="0" pivotButton="0" quotePrefix="0" xfId="0"/>
    <xf numFmtId="0" fontId="22" fillId="0" borderId="0" pivotButton="0" quotePrefix="0" xfId="0"/>
    <xf numFmtId="0" fontId="23" fillId="8" borderId="0" pivotButton="0" quotePrefix="0" xfId="0"/>
    <xf numFmtId="0" fontId="0" fillId="8" borderId="0" pivotButton="0" quotePrefix="0" xfId="0"/>
    <xf numFmtId="0" fontId="24" fillId="9" borderId="0" pivotButton="0" quotePrefix="0" xfId="0"/>
    <xf numFmtId="0" fontId="25" fillId="0" borderId="3" applyAlignment="1" pivotButton="0" quotePrefix="0" xfId="0">
      <alignment vertical="center" wrapText="1"/>
    </xf>
    <xf numFmtId="0" fontId="26" fillId="0" borderId="3" applyAlignment="1" pivotButton="0" quotePrefix="0" xfId="0">
      <alignment vertical="center" wrapText="1"/>
    </xf>
    <xf numFmtId="169" fontId="27" fillId="0" borderId="3" applyAlignment="1" pivotButton="0" quotePrefix="0" xfId="0">
      <alignment vertical="center" wrapText="1"/>
    </xf>
    <xf numFmtId="0" fontId="28" fillId="0" borderId="3" applyAlignment="1" pivotButton="0" quotePrefix="0" xfId="0">
      <alignment vertical="center" wrapText="1"/>
    </xf>
    <xf numFmtId="169" fontId="26" fillId="0" borderId="3" applyAlignment="1" pivotButton="0" quotePrefix="0" xfId="0">
      <alignment vertical="center" wrapText="1"/>
    </xf>
    <xf numFmtId="0" fontId="29" fillId="0" borderId="3" applyAlignment="1" pivotButton="0" quotePrefix="0" xfId="0">
      <alignment vertical="center" wrapText="1"/>
    </xf>
    <xf numFmtId="164" fontId="27" fillId="0" borderId="3" applyAlignment="1" pivotButton="0" quotePrefix="0" xfId="0">
      <alignment vertical="center" wrapText="1"/>
    </xf>
    <xf numFmtId="164" fontId="26" fillId="0" borderId="3" applyAlignment="1" pivotButton="0" quotePrefix="0" xfId="0">
      <alignment vertical="center" wrapText="1"/>
    </xf>
    <xf numFmtId="2" fontId="27" fillId="0" borderId="3" applyAlignment="1" pivotButton="0" quotePrefix="0" xfId="0">
      <alignment vertical="center" wrapText="1"/>
    </xf>
    <xf numFmtId="2" fontId="26" fillId="0" borderId="3" applyAlignment="1" pivotButton="0" quotePrefix="0" xfId="0">
      <alignment vertical="center" wrapText="1"/>
    </xf>
    <xf numFmtId="0" fontId="0" fillId="0" borderId="3" applyAlignment="1" pivotButton="0" quotePrefix="0" xfId="0">
      <alignment vertical="center" wrapText="1"/>
    </xf>
    <xf numFmtId="1" fontId="27" fillId="0" borderId="3" applyAlignment="1" pivotButton="0" quotePrefix="0" xfId="0">
      <alignment vertical="center" wrapText="1"/>
    </xf>
    <xf numFmtId="1" fontId="26" fillId="0" borderId="3" applyAlignment="1" pivotButton="0" quotePrefix="0" xfId="0">
      <alignment vertical="center" wrapText="1"/>
    </xf>
    <xf numFmtId="170" fontId="27" fillId="0" borderId="3" applyAlignment="1" pivotButton="0" quotePrefix="0" xfId="0">
      <alignment vertical="center" wrapText="1"/>
    </xf>
    <xf numFmtId="170" fontId="26" fillId="0" borderId="3" applyAlignment="1" pivotButton="0" quotePrefix="0" xfId="0">
      <alignment vertical="center" wrapText="1"/>
    </xf>
    <xf numFmtId="49" fontId="27" fillId="0" borderId="3" applyAlignment="1" pivotButton="0" quotePrefix="0" xfId="0">
      <alignment vertical="center" wrapText="1"/>
    </xf>
    <xf numFmtId="49" fontId="26" fillId="0" borderId="3" applyAlignment="1" pivotButton="0" quotePrefix="0" xfId="0">
      <alignment vertical="center" wrapText="1"/>
    </xf>
    <xf numFmtId="0" fontId="23" fillId="0" borderId="0" pivotButton="0" quotePrefix="0" xfId="0"/>
    <xf numFmtId="0" fontId="29" fillId="0" borderId="0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CC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6DCE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CE4D6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comments/comment1.xml><?xml version="1.0" encoding="utf-8"?>
<comments xmlns="http://schemas.openxmlformats.org/spreadsheetml/2006/main">
  <authors>
    <author>Unknown Author</author>
  </authors>
  <commentList>
    <comment ref="C14" authorId="0" shapeId="0">
      <text>
        <t>Leave 0; self-weight is auto-computed from area × 77 kN/m³.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png" Id="rId2"/></Relationships>
</file>

<file path=xl/drawings/_rels/drawing2.xml.rels><Relationships xmlns="http://schemas.openxmlformats.org/package/2006/relationships"><Relationship Type="http://schemas.openxmlformats.org/officeDocument/2006/relationships/image" Target="/xl/media/image3.png" Id="rId1"/><Relationship Type="http://schemas.openxmlformats.org/officeDocument/2006/relationships/image" Target="/xl/media/image4.png" Id="rId2"/></Relationships>
</file>

<file path=xl/drawings/_rels/drawing3.xml.rels><Relationships xmlns="http://schemas.openxmlformats.org/package/2006/relationships"><Relationship Type="http://schemas.openxmlformats.org/officeDocument/2006/relationships/image" Target="/xl/media/image5.png" Id="rId1"/><Relationship Type="http://schemas.openxmlformats.org/officeDocument/2006/relationships/image" Target="/xl/media/image6.png" Id="rId2"/></Relationships>
</file>

<file path=xl/drawings/_rels/drawing4.xml.rels><Relationships xmlns="http://schemas.openxmlformats.org/package/2006/relationships"><Relationship Type="http://schemas.openxmlformats.org/officeDocument/2006/relationships/image" Target="/xl/media/image7.png" Id="rId1"/><Relationship Type="http://schemas.openxmlformats.org/officeDocument/2006/relationships/image" Target="/xl/media/image8.png" Id="rId2"/><Relationship Type="http://schemas.openxmlformats.org/officeDocument/2006/relationships/image" Target="/xl/media/image9.png" Id="rId3"/><Relationship Type="http://schemas.openxmlformats.org/officeDocument/2006/relationships/image" Target="/xl/media/image10.png" Id="rId4"/></Relationships>
</file>

<file path=xl/drawings/drawing1.xml><?xml version="1.0" encoding="utf-8"?>
<wsDr xmlns="http://schemas.openxmlformats.org/drawingml/2006/spreadsheetDrawing">
  <oneCellAnchor>
    <from>
      <col>2</col>
      <colOff>0</colOff>
      <row>2</row>
      <rowOff>0</rowOff>
    </from>
    <ext cx="7239000" cy="5048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</col>
      <colOff>0</colOff>
      <row>42</row>
      <rowOff>0</rowOff>
    </from>
    <ext cx="7239000" cy="50482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2</col>
      <colOff>0</colOff>
      <row>2</row>
      <rowOff>0</rowOff>
    </from>
    <ext cx="7239000" cy="5048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</col>
      <colOff>0</colOff>
      <row>42</row>
      <rowOff>0</rowOff>
    </from>
    <ext cx="7239000" cy="50482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2</col>
      <colOff>0</colOff>
      <row>2</row>
      <rowOff>0</rowOff>
    </from>
    <ext cx="7239000" cy="5048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</col>
      <colOff>0</colOff>
      <row>42</row>
      <rowOff>0</rowOff>
    </from>
    <ext cx="7239000" cy="50482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4.xml><?xml version="1.0" encoding="utf-8"?>
<wsDr xmlns="http://schemas.openxmlformats.org/drawingml/2006/spreadsheetDrawing">
  <oneCellAnchor>
    <from>
      <col>2</col>
      <colOff>0</colOff>
      <row>2</row>
      <rowOff>0</rowOff>
    </from>
    <ext cx="7239000" cy="5048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</col>
      <colOff>0</colOff>
      <row>42</row>
      <rowOff>0</rowOff>
    </from>
    <ext cx="7239000" cy="50482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</col>
      <colOff>0</colOff>
      <row>82</row>
      <rowOff>0</rowOff>
    </from>
    <ext cx="7239000" cy="504825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</col>
      <colOff>0</colOff>
      <row>122</row>
      <rowOff>0</rowOff>
    </from>
    <ext cx="7239000" cy="5048250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3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6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1:C42"/>
  <sheetViews>
    <sheetView showGridLines="0" zoomScale="170" zoomScaleNormal="170" workbookViewId="0">
      <pane ySplit="1" topLeftCell="A33" activePane="bottomLeft" state="frozen"/>
      <selection pane="bottomLeft" activeCell="A32" sqref="A32:XFD32"/>
    </sheetView>
  </sheetViews>
  <sheetFormatPr baseColWidth="8" defaultColWidth="8.7109375" defaultRowHeight="15"/>
  <cols>
    <col width="3" customWidth="1" min="1" max="1"/>
    <col width="40" customWidth="1" min="2" max="2"/>
    <col width="72" customWidth="1" min="3" max="3"/>
  </cols>
  <sheetData>
    <row r="1" ht="24" customHeight="1">
      <c r="B1" s="51" t="inlineStr">
        <is>
          <t>PURLIN &amp; GIRT DESIGN TO CSA S16-19  —  README</t>
        </is>
      </c>
    </row>
    <row r="3">
      <c r="B3" s="50" t="inlineStr">
        <is>
          <t>Purpose &amp; scope</t>
        </is>
      </c>
    </row>
    <row r="4" ht="30" customHeight="1">
      <c r="B4" s="52" t="inlineStr">
        <is>
          <t>Deliverable</t>
        </is>
      </c>
      <c r="C4" s="52" t="inlineStr">
        <is>
          <t>Design of secondary steel flexural members – roof purlins and wall girts – to CSA S16-19, with NBCC 2020 load combinations.</t>
        </is>
      </c>
    </row>
    <row r="5" ht="30" customHeight="1">
      <c r="B5" s="52" t="inlineStr">
        <is>
          <t>Members</t>
        </is>
      </c>
      <c r="C5" s="52" t="inlineStr">
        <is>
          <t>Hot-rolled I-shapes (W), channels (C/MC) and rectangular HSS in biaxial bending (+ optional axial for strut members).</t>
        </is>
      </c>
    </row>
    <row r="6" ht="30" customHeight="1">
      <c r="B6" s="3" t="inlineStr">
        <is>
          <t>Note</t>
        </is>
      </c>
      <c r="C6" s="52" t="inlineStr">
        <is>
          <t>Cold-formed light-gauge Z / C purlins are outside S16-19 and must be designed to CSA S136. This workbook targets hot-rolled sections.</t>
        </is>
      </c>
    </row>
    <row r="8">
      <c r="B8" s="50" t="inlineStr">
        <is>
          <t>How to use</t>
        </is>
      </c>
    </row>
    <row r="9" ht="25.5" customHeight="1">
      <c r="B9" s="52" t="inlineStr">
        <is>
          <t>1. On the Input tab, pick the unit system (cell C4: SI or Imperial). All labels and conversions follow automatically.</t>
        </is>
      </c>
    </row>
    <row r="10" ht="25.5" customHeight="1">
      <c r="B10" s="52" t="inlineStr">
        <is>
          <t>2. Enter material, geometry, bracing, section properties (from the CISC Handbook) and loads in the yellow cells.</t>
        </is>
      </c>
    </row>
    <row r="11" ht="25.5" customHeight="1">
      <c r="B11" s="52" t="inlineStr">
        <is>
          <t>3. Read results on the Purlin and Girt tabs (clause-referenced ULS &amp; SLS checks) and the Summary tab.</t>
        </is>
      </c>
    </row>
    <row r="12" ht="25.5" customHeight="1">
      <c r="B12" s="52" t="inlineStr">
        <is>
          <t>4. Self-weight is added automatically (area × 77 kN/m³); do not double-count it in the Dead load.</t>
        </is>
      </c>
    </row>
    <row r="14">
      <c r="B14" s="50" t="inlineStr">
        <is>
          <t>Clause map (CSA S16-19)</t>
        </is>
      </c>
    </row>
    <row r="15" ht="19.5" customHeight="1">
      <c r="B15" s="4" t="inlineStr">
        <is>
          <t>Section classification</t>
        </is>
      </c>
      <c r="C15" s="52" t="inlineStr">
        <is>
          <t>Cl. 11.1 / 11.3, Table 1 (flange &amp; web width-to-thickness limits)</t>
        </is>
      </c>
    </row>
    <row r="16" ht="19.5" customHeight="1">
      <c r="B16" s="4" t="inlineStr">
        <is>
          <t>Resistance factor</t>
        </is>
      </c>
      <c r="C16" s="52" t="inlineStr">
        <is>
          <t>Cl. 13.1(a):  φ = 0.90 for structural steel</t>
        </is>
      </c>
    </row>
    <row r="17" ht="19.5" customHeight="1">
      <c r="B17" s="4" t="inlineStr">
        <is>
          <t>Shear resistance</t>
        </is>
      </c>
      <c r="C17" s="52" t="inlineStr">
        <is>
          <t>Cl. 13.4.1:  Vr = φ·Aw·Fs, with Fs from Cl. 13.4.1.1</t>
        </is>
      </c>
    </row>
    <row r="18" ht="19.5" customHeight="1">
      <c r="B18" s="4" t="inlineStr">
        <is>
          <t>Bending – laterally supported</t>
        </is>
      </c>
      <c r="C18" s="52" t="inlineStr">
        <is>
          <t>Cl. 13.5(a) Class 1&amp;2: Mr=φZFy;  13.5(b) Class 3: Mr=φSFy</t>
        </is>
      </c>
    </row>
    <row r="19" ht="19.5" customHeight="1">
      <c r="B19" s="4" t="inlineStr">
        <is>
          <t>Biaxial bending</t>
        </is>
      </c>
      <c r="C19" s="52" t="inlineStr">
        <is>
          <t>Cl. 13.5(e):  Mfx/Mrx + Mfy/Mry ≤ 1.0</t>
        </is>
      </c>
    </row>
    <row r="20" ht="19.5" customHeight="1">
      <c r="B20" s="4" t="inlineStr">
        <is>
          <t>Bending – laterally unsupported (LTB)</t>
        </is>
      </c>
      <c r="C20" s="52" t="inlineStr">
        <is>
          <t>Cl. 13.6.1(a): Mu, then Mr = 1.15φMp[1−0.28Mp/Mu] ≤ φMp</t>
        </is>
      </c>
    </row>
    <row r="21" ht="19.5" customHeight="1">
      <c r="B21" s="4" t="inlineStr">
        <is>
          <t>Axial + bending (optional strut)</t>
        </is>
      </c>
      <c r="C21" s="52" t="inlineStr">
        <is>
          <t>Cl. 13.8.4 with Cr per 13.3.1:  Cf/Cr + (Ux+Uy) ≤ 1.0 (conservative)</t>
        </is>
      </c>
    </row>
    <row r="22" ht="19.5" customHeight="1">
      <c r="B22" s="4" t="inlineStr">
        <is>
          <t>Deflection (SLS)</t>
        </is>
      </c>
      <c r="C22" s="52" t="inlineStr">
        <is>
          <t>NBCC 2020 – limits set by user (e.g. L/180, L/240, L/360)</t>
        </is>
      </c>
    </row>
    <row r="24">
      <c r="B24" s="50" t="inlineStr">
        <is>
          <t>Key assumptions</t>
        </is>
      </c>
    </row>
    <row r="25" ht="30" customHeight="1">
      <c r="B25" s="52" t="inlineStr">
        <is>
          <t>Simply-supported single spans:  Mfx = wx·L²/8,  Mfy = wy·Ly²/8,  Vf = wx·L/2.</t>
        </is>
      </c>
    </row>
    <row r="26" ht="30" customHeight="1">
      <c r="B26" s="52" t="inlineStr">
        <is>
          <t>Sag rods / bridging create the weak-axis span  Ly = L/(n+1)  (n = number of sag-rod lines). Continuity over sag rods is conservatively ignored.</t>
        </is>
      </c>
    </row>
    <row r="27" ht="30" customHeight="1">
      <c r="B27" s="52" t="inlineStr">
        <is>
          <t>Purlin: gravity loads (D,S,Lr) act on the sloped roof and are resolved into strong (×cosθ) and weak (×sinθ) components; wind acts normal to the roof (strong axis only).</t>
        </is>
      </c>
    </row>
    <row r="28" ht="30" customHeight="1">
      <c r="B28" s="52" t="inlineStr">
        <is>
          <t>Girt: wind acts on the strong axis; cladding + self-weight act vertically on the weak axis.</t>
        </is>
      </c>
    </row>
    <row r="29" ht="30" customHeight="1">
      <c r="B29" s="52" t="inlineStr">
        <is>
          <t>Under uplift (purlin) / suction (girt) the normally-tension flange goes into compression – LTB is then checked over Lu on that flange (set the bracing toggles accordingly).</t>
        </is>
      </c>
    </row>
    <row r="30" ht="30" customHeight="1">
      <c r="B30" s="52" t="inlineStr">
        <is>
          <t>Moment-gradient factor ω2 defaults to 1.0 (conservative); override per Cl. 13.6.1 if a higher value is justified.</t>
        </is>
      </c>
    </row>
    <row r="31" ht="30" customHeight="1">
      <c r="B31" s="52" t="inlineStr">
        <is>
          <t>Weak-axis class is conservatively taken equal to the governing flexural class.</t>
        </is>
      </c>
    </row>
    <row r="32" ht="30" customHeight="1">
      <c r="B32" s="52" t="inlineStr">
        <is>
          <t>Class 4 sections are flagged – they fall outside this tool and require CSA S136 / effective-section analysis.</t>
        </is>
      </c>
    </row>
    <row r="34">
      <c r="B34" s="50" t="inlineStr">
        <is>
          <t>Legend</t>
        </is>
      </c>
    </row>
    <row r="35">
      <c r="B35" s="5" t="inlineStr">
        <is>
          <t xml:space="preserve">  Input cell  </t>
        </is>
      </c>
      <c r="C35" s="6" t="inlineStr">
        <is>
          <t>Yellow = user input</t>
        </is>
      </c>
    </row>
    <row r="36">
      <c r="B36" s="7" t="inlineStr">
        <is>
          <t xml:space="preserve">  Result cell  </t>
        </is>
      </c>
      <c r="C36" s="6" t="inlineStr">
        <is>
          <t>Green = key resistance / result</t>
        </is>
      </c>
    </row>
    <row r="37">
      <c r="B37" s="8" t="inlineStr">
        <is>
          <t xml:space="preserve">  Governing  </t>
        </is>
      </c>
      <c r="C37" s="6" t="inlineStr">
        <is>
          <t>Orange = governing value / verdict</t>
        </is>
      </c>
    </row>
    <row r="39">
      <c r="B39" s="50" t="inlineStr">
        <is>
          <t>Disclaimer</t>
        </is>
      </c>
    </row>
    <row r="40" ht="60" customHeight="1">
      <c r="B40" s="53" t="inlineStr">
        <is>
          <t>This spreadsheet is a design aid. All inputs, assumptions and outputs must be reviewed and verified by a qualified, licensed structural engineer against the governing edition of CSA S16 and the applicable building code before use in practice.</t>
        </is>
      </c>
    </row>
    <row r="41"/>
    <row r="42"/>
  </sheetData>
  <mergeCells count="20">
    <mergeCell ref="B25:C25"/>
    <mergeCell ref="B3:C3"/>
    <mergeCell ref="B31:C31"/>
    <mergeCell ref="B27:C27"/>
    <mergeCell ref="B12:C12"/>
    <mergeCell ref="B39:C39"/>
    <mergeCell ref="B11:C11"/>
    <mergeCell ref="B14:C14"/>
    <mergeCell ref="B1:C1"/>
    <mergeCell ref="B8:C8"/>
    <mergeCell ref="B29:C29"/>
    <mergeCell ref="B34:C34"/>
    <mergeCell ref="B10:C10"/>
    <mergeCell ref="B28:C28"/>
    <mergeCell ref="B9:C9"/>
    <mergeCell ref="B40:C42"/>
    <mergeCell ref="B24:C24"/>
    <mergeCell ref="B30:C30"/>
    <mergeCell ref="B32:C32"/>
    <mergeCell ref="B26:C26"/>
  </mergeCells>
  <pageMargins left="0.4" right="0.4" top="0.5" bottom="0.5" header="0.511811023622047" footer="0.5"/>
  <pageSetup orientation="portrait" scale="85" fitToHeight="0" horizontalDpi="300" verticalDpi="300"/>
  <headerFooter>
    <oddHeader/>
    <oddFooter>&amp;C&amp;8 CSA S16-19 Purlin Girt Design  |  &amp;A  |  Page &amp;P of &amp;N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1:F17"/>
  <sheetViews>
    <sheetView showGridLines="0" zoomScale="140" zoomScaleNormal="140" workbookViewId="0">
      <pane ySplit="1" topLeftCell="A2" activePane="bottomLeft" state="frozen"/>
      <selection pane="bottomLeft" activeCell="A1" sqref="A1"/>
    </sheetView>
  </sheetViews>
  <sheetFormatPr baseColWidth="8" defaultColWidth="8.7109375" defaultRowHeight="15"/>
  <cols>
    <col width="4" customWidth="1" min="1" max="1"/>
    <col width="34" customWidth="1" min="2" max="2"/>
    <col width="16" customWidth="1" min="3" max="4"/>
    <col width="14" customWidth="1" min="5" max="6"/>
  </cols>
  <sheetData>
    <row r="1" ht="21.75" customHeight="1">
      <c r="B1" s="51" t="inlineStr">
        <is>
          <t>DESIGN SUMMARY  —  CSA S16-19</t>
        </is>
      </c>
    </row>
    <row r="3">
      <c r="B3" s="9" t="inlineStr">
        <is>
          <t>Code basis: CSA S16-19; loads NBCC 2020. φ = 0.90 (Cl.13.1).</t>
        </is>
      </c>
    </row>
    <row r="4">
      <c r="B4" s="10" t="inlineStr">
        <is>
          <t>Unit system:</t>
        </is>
      </c>
      <c r="C4" s="10">
        <f>Input!$C$4</f>
        <v/>
      </c>
    </row>
    <row r="6">
      <c r="B6" s="11" t="inlineStr">
        <is>
          <t>Item</t>
        </is>
      </c>
      <c r="C6" s="11" t="inlineStr">
        <is>
          <t>Purlin</t>
        </is>
      </c>
      <c r="D6" s="11" t="inlineStr">
        <is>
          <t>Girt</t>
        </is>
      </c>
    </row>
    <row r="7">
      <c r="B7" s="6" t="inlineStr">
        <is>
          <t>Section class</t>
        </is>
      </c>
      <c r="C7" s="12">
        <f>Purlin!C16</f>
        <v/>
      </c>
      <c r="D7" s="12">
        <f>Girt!C16</f>
        <v/>
      </c>
    </row>
    <row r="8">
      <c r="B8" s="6" t="inlineStr">
        <is>
          <t>Gov. ULS utilization</t>
        </is>
      </c>
      <c r="C8" s="13">
        <f>Purlin!J55</f>
        <v/>
      </c>
      <c r="D8" s="13">
        <f>Girt!J55</f>
        <v/>
      </c>
    </row>
    <row r="9">
      <c r="B9" s="6" t="inlineStr">
        <is>
          <t>ULS result</t>
        </is>
      </c>
      <c r="C9" s="14">
        <f>Purlin!K55</f>
        <v/>
      </c>
      <c r="D9" s="14">
        <f>Girt!K55</f>
        <v/>
      </c>
    </row>
    <row r="10">
      <c r="B10" s="6" t="inlineStr">
        <is>
          <t>Gov. SLS ratio</t>
        </is>
      </c>
      <c r="C10" s="13">
        <f>Purlin!E64</f>
        <v/>
      </c>
      <c r="D10" s="13">
        <f>Girt!E63</f>
        <v/>
      </c>
    </row>
    <row r="11">
      <c r="B11" s="6" t="inlineStr">
        <is>
          <t>SLS result</t>
        </is>
      </c>
      <c r="C11" s="14">
        <f>Purlin!F64</f>
        <v/>
      </c>
      <c r="D11" s="14">
        <f>Girt!F63</f>
        <v/>
      </c>
    </row>
    <row r="12" ht="15.75" customHeight="1">
      <c r="B12" s="10" t="inlineStr">
        <is>
          <t>OVERALL</t>
        </is>
      </c>
      <c r="C12" s="15">
        <f>Purlin!C70</f>
        <v/>
      </c>
      <c r="D12" s="15">
        <f>Girt!C69</f>
        <v/>
      </c>
    </row>
    <row r="14">
      <c r="B14" s="16" t="inlineStr">
        <is>
          <t>Detailed clause-by-clause checks are on the Purlin and Girt tabs.</t>
        </is>
      </c>
    </row>
    <row r="15">
      <c r="B15" s="17" t="inlineStr">
        <is>
          <t>Review any FAIL / REVIEW / Class-4 flag before use.</t>
        </is>
      </c>
    </row>
    <row r="16">
      <c r="B16" t="inlineStr">
        <is>
          <t>Independent hand calculation: see "Hand Calc" tab (protected).</t>
        </is>
      </c>
    </row>
    <row r="17">
      <c r="B17">
        <f>'Hand Calc'!D136</f>
        <v/>
      </c>
    </row>
  </sheetData>
  <mergeCells count="1">
    <mergeCell ref="B1:F1"/>
  </mergeCells>
  <pageMargins left="0.4" right="0.4" top="0.5" bottom="0.5" header="0.511811023622047" footer="0.5"/>
  <pageSetup orientation="portrait" fitToHeight="0" horizontalDpi="300" verticalDpi="300"/>
  <headerFooter>
    <oddHeader/>
    <oddFooter>&amp;C&amp;8 CSA S16-19 Purlin Girt Design  |  &amp;A  |  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B1:F86"/>
  <sheetViews>
    <sheetView showGridLines="0" zoomScale="160" zoomScaleNormal="160" workbookViewId="0">
      <pane ySplit="1" topLeftCell="A2" activePane="bottomLeft" state="frozen"/>
      <selection pane="bottomLeft" activeCell="B86" sqref="B86"/>
    </sheetView>
  </sheetViews>
  <sheetFormatPr baseColWidth="8" defaultColWidth="8.7109375" defaultRowHeight="15"/>
  <cols>
    <col width="30" customWidth="1" min="1" max="1"/>
    <col width="20" customWidth="1" min="2" max="2"/>
    <col width="14" customWidth="1" min="3" max="3"/>
    <col width="12" customWidth="1" min="4" max="4"/>
    <col width="16" customWidth="1" min="5" max="5"/>
    <col width="34" customWidth="1" min="6" max="6"/>
  </cols>
  <sheetData>
    <row r="1" ht="21.75" customHeight="1">
      <c r="B1" s="51" t="inlineStr">
        <is>
          <t>CSA S16-19  —  PURLIN &amp; GIRT DESIGN  —  INPUT</t>
        </is>
      </c>
    </row>
    <row r="3">
      <c r="B3" s="18" t="inlineStr">
        <is>
          <t>Unit system  ▶</t>
        </is>
      </c>
    </row>
    <row r="4">
      <c r="B4" s="10" t="inlineStr">
        <is>
          <t>Select  SI  or  Imperial :</t>
        </is>
      </c>
      <c r="C4" s="19" t="inlineStr">
        <is>
          <t>SI</t>
        </is>
      </c>
      <c r="D4" s="17" t="inlineStr">
        <is>
          <t>◀ toggle</t>
        </is>
      </c>
      <c r="F4" s="16" t="inlineStr">
        <is>
          <t>All yellow cells are inputs. Units &amp; labels update automatically.</t>
        </is>
      </c>
    </row>
    <row r="6">
      <c r="B6" s="10" t="inlineStr">
        <is>
          <t>Project</t>
        </is>
      </c>
      <c r="C6" s="5" t="inlineStr">
        <is>
          <t>____</t>
        </is>
      </c>
      <c r="E6" s="10" t="inlineStr">
        <is>
          <t>Designer</t>
        </is>
      </c>
      <c r="F6" s="5" t="inlineStr">
        <is>
          <t>____</t>
        </is>
      </c>
    </row>
    <row r="7">
      <c r="B7" s="10" t="inlineStr">
        <is>
          <t>Member mark</t>
        </is>
      </c>
      <c r="C7" s="5" t="inlineStr">
        <is>
          <t>____</t>
        </is>
      </c>
      <c r="E7" s="10" t="inlineStr">
        <is>
          <t>Date / Rev</t>
        </is>
      </c>
      <c r="F7" s="5" t="inlineStr">
        <is>
          <t>____</t>
        </is>
      </c>
    </row>
    <row r="9">
      <c r="B9" s="50" t="inlineStr">
        <is>
          <t>MATERIAL  (shared)</t>
        </is>
      </c>
    </row>
    <row r="10">
      <c r="B10" s="6" t="inlineStr">
        <is>
          <t>Yield strength, Fy</t>
        </is>
      </c>
      <c r="C10" s="20" t="n">
        <v>350</v>
      </c>
      <c r="D10" s="21">
        <f>IF(Input!$C$4="SI","MPa","ksi")</f>
        <v/>
      </c>
      <c r="E10" s="22">
        <f>IF(Input!$C$4="SI",C10*1,C10*6.8947573)</f>
        <v/>
      </c>
      <c r="F10" s="53" t="inlineStr">
        <is>
          <t>CSA G40.21 350W typ.</t>
        </is>
      </c>
    </row>
    <row r="11">
      <c r="B11" s="6" t="inlineStr">
        <is>
          <t>Tensile strength, Fu</t>
        </is>
      </c>
      <c r="C11" s="20" t="n">
        <v>450</v>
      </c>
      <c r="D11" s="21">
        <f>IF(Input!$C$4="SI","MPa","ksi")</f>
        <v/>
      </c>
      <c r="E11" s="22">
        <f>IF(Input!$C$4="SI",C11*1,C11*6.8947573)</f>
        <v/>
      </c>
    </row>
    <row r="12">
      <c r="B12" s="6" t="inlineStr">
        <is>
          <t>Elastic modulus, E</t>
        </is>
      </c>
      <c r="C12" s="20" t="n">
        <v>200000</v>
      </c>
      <c r="D12" s="21">
        <f>IF(Input!$C$4="SI","MPa","ksi")</f>
        <v/>
      </c>
      <c r="E12" s="22">
        <f>IF(Input!$C$4="SI",C12*1,C12*6.8947573)</f>
        <v/>
      </c>
      <c r="F12" s="53" t="inlineStr">
        <is>
          <t>200 000 MPa / 29 000 ksi</t>
        </is>
      </c>
    </row>
    <row r="13">
      <c r="B13" s="6" t="inlineStr">
        <is>
          <t>Shear modulus, G</t>
        </is>
      </c>
      <c r="C13" s="20" t="n">
        <v>77000</v>
      </c>
      <c r="D13" s="21">
        <f>IF(Input!$C$4="SI","MPa","ksi")</f>
        <v/>
      </c>
      <c r="E13" s="22">
        <f>IF(Input!$C$4="SI",C13*1,C13*6.8947573)</f>
        <v/>
      </c>
      <c r="F13" s="53" t="inlineStr">
        <is>
          <t>77 000 MPa / 11 200 ksi</t>
        </is>
      </c>
    </row>
    <row r="14" ht="24" customHeight="1">
      <c r="B14" s="6" t="inlineStr">
        <is>
          <t>Steel unit weight, γ</t>
        </is>
      </c>
      <c r="C14" s="20" t="n">
        <v>77</v>
      </c>
      <c r="D14" s="21">
        <f>IF(Input!$C$4="SI","kN/m³","pcf")</f>
        <v/>
      </c>
      <c r="E14" s="22">
        <f>IF(Input!$C$4="SI",C14*1,C14*0.15708746)</f>
        <v/>
      </c>
      <c r="F14" s="53" t="inlineStr">
        <is>
          <t>used for auto self-weight (77 kN/m³ / 490 pcf)</t>
        </is>
      </c>
    </row>
    <row r="16">
      <c r="B16" s="54" t="inlineStr">
        <is>
          <t>PURLIN  (sloped roof member)</t>
        </is>
      </c>
    </row>
    <row r="17">
      <c r="B17" s="50" t="inlineStr">
        <is>
          <t>Geometry &amp; bracing</t>
        </is>
      </c>
    </row>
    <row r="18" ht="26.25" customHeight="1">
      <c r="B18" s="49" t="inlineStr">
        <is>
          <t>Span, L (between frames)</t>
        </is>
      </c>
      <c r="C18" s="20" t="n">
        <v>7.5</v>
      </c>
      <c r="D18" s="21">
        <f>IF(Input!$C$4="SI","m","ft")</f>
        <v/>
      </c>
      <c r="E18" s="22">
        <f>IF(Input!$C$4="SI",C18*1000,C18*304.8)</f>
        <v/>
      </c>
    </row>
    <row r="19" ht="26.25" customHeight="1">
      <c r="B19" s="49" t="inlineStr">
        <is>
          <t>Purlin spacing, s (along roof)</t>
        </is>
      </c>
      <c r="C19" s="20" t="n">
        <v>1.5</v>
      </c>
      <c r="D19" s="21">
        <f>IF(Input!$C$4="SI","m","ft")</f>
        <v/>
      </c>
      <c r="E19" s="22">
        <f>IF(Input!$C$4="SI",C19*1000,C19*304.8)</f>
        <v/>
      </c>
      <c r="F19" s="53" t="inlineStr">
        <is>
          <t>tributary width</t>
        </is>
      </c>
    </row>
    <row r="20">
      <c r="B20" s="6" t="inlineStr">
        <is>
          <t>Roof slope, θ</t>
        </is>
      </c>
      <c r="C20" s="20" t="n">
        <v>10</v>
      </c>
      <c r="D20" s="21" t="inlineStr">
        <is>
          <t>deg</t>
        </is>
      </c>
      <c r="E20" s="14">
        <f>C20</f>
        <v/>
      </c>
    </row>
    <row r="21">
      <c r="B21" s="6" t="inlineStr">
        <is>
          <t>No. of sag-rod lines, n</t>
        </is>
      </c>
      <c r="C21" s="20" t="n">
        <v>1</v>
      </c>
      <c r="D21" s="21" t="n"/>
      <c r="E21" s="14">
        <f>C21</f>
        <v/>
      </c>
      <c r="F21" s="53" t="inlineStr">
        <is>
          <t>weak-axis span = L/(n+1)</t>
        </is>
      </c>
    </row>
    <row r="22" ht="39" customHeight="1">
      <c r="B22" s="49" t="inlineStr">
        <is>
          <t>Comp. flange braced when load +ve (gravity)?</t>
        </is>
      </c>
      <c r="C22" s="20" t="inlineStr">
        <is>
          <t>Yes</t>
        </is>
      </c>
      <c r="D22" s="23" t="n"/>
      <c r="E22" s="14">
        <f>C22</f>
        <v/>
      </c>
      <c r="F22" s="53" t="inlineStr">
        <is>
          <t>roof deck braces top flange</t>
        </is>
      </c>
    </row>
    <row r="23" ht="26.25" customHeight="1">
      <c r="B23" s="49" t="inlineStr">
        <is>
          <t xml:space="preserve">  if No → unbraced length Lu(+)</t>
        </is>
      </c>
      <c r="C23" s="20" t="n">
        <v>7.5</v>
      </c>
      <c r="D23" s="21">
        <f>IF(Input!$C$4="SI","m","ft")</f>
        <v/>
      </c>
      <c r="E23" s="22">
        <f>IF(Input!$C$4="SI",C23*1000,C23*304.8)</f>
        <v/>
      </c>
    </row>
    <row r="24" ht="26.25" customHeight="1">
      <c r="B24" s="49" t="inlineStr">
        <is>
          <t>Comp. flange braced when load –ve (uplift)?</t>
        </is>
      </c>
      <c r="C24" s="20" t="inlineStr">
        <is>
          <t>No</t>
        </is>
      </c>
      <c r="D24" s="23" t="n"/>
      <c r="E24" s="14">
        <f>C24</f>
        <v/>
      </c>
      <c r="F24" s="53" t="inlineStr">
        <is>
          <t>bottom flange in compression</t>
        </is>
      </c>
    </row>
    <row r="25" ht="26.25" customHeight="1">
      <c r="B25" s="49" t="inlineStr">
        <is>
          <t xml:space="preserve">  if No → unbraced length Lu(–)</t>
        </is>
      </c>
      <c r="C25" s="20" t="n">
        <v>3.75</v>
      </c>
      <c r="D25" s="21">
        <f>IF(Input!$C$4="SI","m","ft")</f>
        <v/>
      </c>
      <c r="E25" s="22">
        <f>IF(Input!$C$4="SI",C25*1000,C25*304.8)</f>
        <v/>
      </c>
      <c r="F25" s="53" t="inlineStr">
        <is>
          <t>brace/bridging spacing</t>
        </is>
      </c>
    </row>
    <row r="26" ht="26.25" customHeight="1">
      <c r="B26" s="49" t="inlineStr">
        <is>
          <t>Moment-gradient factor, ω2</t>
        </is>
      </c>
      <c r="C26" s="20" t="n">
        <v>1</v>
      </c>
      <c r="D26" s="21" t="n"/>
      <c r="E26" s="14">
        <f>C26</f>
        <v/>
      </c>
      <c r="F26" s="53" t="inlineStr">
        <is>
          <t>Cl.13.6.1; 1.0 conservative</t>
        </is>
      </c>
    </row>
    <row r="27">
      <c r="B27" s="50" t="inlineStr">
        <is>
          <t>Section properties  (from CISC Handbook)</t>
        </is>
      </c>
    </row>
    <row r="28">
      <c r="B28" s="6" t="inlineStr">
        <is>
          <t>Section type  (W / C / HSS)</t>
        </is>
      </c>
      <c r="C28" s="20" t="inlineStr">
        <is>
          <t>W</t>
        </is>
      </c>
      <c r="D28" s="23" t="n"/>
      <c r="E28" s="14">
        <f>C28</f>
        <v/>
      </c>
      <c r="F28" s="53" t="inlineStr">
        <is>
          <t>W=I-shape, C=channel, HSS=rect. hollow</t>
        </is>
      </c>
    </row>
    <row r="29">
      <c r="B29" s="6" t="inlineStr">
        <is>
          <t>Depth, d</t>
        </is>
      </c>
      <c r="C29" s="20" t="n">
        <v>250</v>
      </c>
      <c r="D29" s="21">
        <f>IF(Input!$C$4="SI","mm","in")</f>
        <v/>
      </c>
      <c r="E29" s="22">
        <f>IF(Input!$C$4="SI",C29*1,C29*25.4)</f>
        <v/>
      </c>
    </row>
    <row r="30">
      <c r="B30" s="6" t="inlineStr">
        <is>
          <t>Flange width, bf</t>
        </is>
      </c>
      <c r="C30" s="20" t="n">
        <v>146</v>
      </c>
      <c r="D30" s="21">
        <f>IF(Input!$C$4="SI","mm","in")</f>
        <v/>
      </c>
      <c r="E30" s="22">
        <f>IF(Input!$C$4="SI",C30*1,C30*25.4)</f>
        <v/>
      </c>
    </row>
    <row r="31">
      <c r="B31" s="6" t="inlineStr">
        <is>
          <t>Flange thickness, tf</t>
        </is>
      </c>
      <c r="C31" s="20" t="n">
        <v>12.7</v>
      </c>
      <c r="D31" s="21">
        <f>IF(Input!$C$4="SI","mm","in")</f>
        <v/>
      </c>
      <c r="E31" s="22">
        <f>IF(Input!$C$4="SI",C31*1,C31*25.4)</f>
        <v/>
      </c>
      <c r="F31" s="53" t="inlineStr">
        <is>
          <t>for HSS enter wall t</t>
        </is>
      </c>
    </row>
    <row r="32">
      <c r="B32" s="6" t="inlineStr">
        <is>
          <t>Web thickness, w</t>
        </is>
      </c>
      <c r="C32" s="20" t="n">
        <v>6.1</v>
      </c>
      <c r="D32" s="21">
        <f>IF(Input!$C$4="SI","mm","in")</f>
        <v/>
      </c>
      <c r="E32" s="22">
        <f>IF(Input!$C$4="SI",C32*1,C32*25.4)</f>
        <v/>
      </c>
      <c r="F32" s="53" t="inlineStr">
        <is>
          <t>for HSS enter wall t</t>
        </is>
      </c>
    </row>
    <row r="33">
      <c r="B33" s="6" t="inlineStr">
        <is>
          <t>Area, A</t>
        </is>
      </c>
      <c r="C33" s="20" t="n">
        <v>4000</v>
      </c>
      <c r="D33" s="21">
        <f>IF(Input!$C$4="SI","mm²","in²")</f>
        <v/>
      </c>
      <c r="E33" s="22">
        <f>IF(Input!$C$4="SI",C33*1,C33*645.16)</f>
        <v/>
      </c>
    </row>
    <row r="34">
      <c r="B34" s="6" t="inlineStr">
        <is>
          <t>Ix</t>
        </is>
      </c>
      <c r="C34" s="20" t="n">
        <v>49.1</v>
      </c>
      <c r="D34" s="21">
        <f>IF(Input!$C$4="SI","10⁶mm⁴","in⁴")</f>
        <v/>
      </c>
      <c r="E34" s="22">
        <f>IF(Input!$C$4="SI",C34*1000000,C34*416231.4256)</f>
        <v/>
      </c>
    </row>
    <row r="35">
      <c r="B35" s="6" t="inlineStr">
        <is>
          <t>Iy</t>
        </is>
      </c>
      <c r="C35" s="20" t="n">
        <v>6.63</v>
      </c>
      <c r="D35" s="21">
        <f>IF(Input!$C$4="SI","10⁶mm⁴","in⁴")</f>
        <v/>
      </c>
      <c r="E35" s="22">
        <f>IF(Input!$C$4="SI",C35*1000000,C35*416231.4256)</f>
        <v/>
      </c>
    </row>
    <row r="36">
      <c r="B36" s="6" t="inlineStr">
        <is>
          <t>Sx</t>
        </is>
      </c>
      <c r="C36" s="20" t="n">
        <v>393</v>
      </c>
      <c r="D36" s="21">
        <f>IF(Input!$C$4="SI","10³mm³","in³")</f>
        <v/>
      </c>
      <c r="E36" s="22">
        <f>IF(Input!$C$4="SI",C36*1000,C36*16387.064)</f>
        <v/>
      </c>
    </row>
    <row r="37">
      <c r="B37" s="6" t="inlineStr">
        <is>
          <t>Sy</t>
        </is>
      </c>
      <c r="C37" s="20" t="n">
        <v>90.8</v>
      </c>
      <c r="D37" s="21">
        <f>IF(Input!$C$4="SI","10³mm³","in³")</f>
        <v/>
      </c>
      <c r="E37" s="22">
        <f>IF(Input!$C$4="SI",C37*1000,C37*16387.064)</f>
        <v/>
      </c>
    </row>
    <row r="38">
      <c r="B38" s="6" t="inlineStr">
        <is>
          <t>Zx (plastic)</t>
        </is>
      </c>
      <c r="C38" s="20" t="n">
        <v>443</v>
      </c>
      <c r="D38" s="21">
        <f>IF(Input!$C$4="SI","10³mm³","in³")</f>
        <v/>
      </c>
      <c r="E38" s="22">
        <f>IF(Input!$C$4="SI",C38*1000,C38*16387.064)</f>
        <v/>
      </c>
    </row>
    <row r="39">
      <c r="B39" s="6" t="inlineStr">
        <is>
          <t>Zy (plastic)</t>
        </is>
      </c>
      <c r="C39" s="20" t="n">
        <v>139</v>
      </c>
      <c r="D39" s="21">
        <f>IF(Input!$C$4="SI","10³mm³","in³")</f>
        <v/>
      </c>
      <c r="E39" s="22">
        <f>IF(Input!$C$4="SI",C39*1000,C39*16387.064)</f>
        <v/>
      </c>
    </row>
    <row r="40">
      <c r="B40" s="6" t="inlineStr">
        <is>
          <t>Torsion constant, J</t>
        </is>
      </c>
      <c r="C40" s="20" t="n">
        <v>209</v>
      </c>
      <c r="D40" s="21">
        <f>IF(Input!$C$4="SI","10³mm⁴","in⁴")</f>
        <v/>
      </c>
      <c r="E40" s="22">
        <f>IF(Input!$C$4="SI",C40*1000,C40*416231.4256)</f>
        <v/>
      </c>
    </row>
    <row r="41">
      <c r="B41" s="6" t="inlineStr">
        <is>
          <t>Warping constant, Cw</t>
        </is>
      </c>
      <c r="C41" s="20" t="n">
        <v>95.8</v>
      </c>
      <c r="D41" s="21">
        <f>IF(Input!$C$4="SI","10⁹mm⁶","in⁶")</f>
        <v/>
      </c>
      <c r="E41" s="22">
        <f>IF(Input!$C$4="SI",C41*1000000000,C41*268535866.540096)</f>
        <v/>
      </c>
    </row>
    <row r="42">
      <c r="B42" s="50" t="inlineStr">
        <is>
          <t>Loads  (pressures on roof surface)</t>
        </is>
      </c>
    </row>
    <row r="43">
      <c r="B43" s="6" t="inlineStr">
        <is>
          <t>Dead, D</t>
        </is>
      </c>
      <c r="C43" s="20" t="n">
        <v>0.3</v>
      </c>
      <c r="D43" s="21">
        <f>IF(Input!$C$4="SI","kPa","psf")</f>
        <v/>
      </c>
      <c r="E43" s="22">
        <f>IF(Input!$C$4="SI",C43*0.001,C43*0.000047880259)</f>
        <v/>
      </c>
    </row>
    <row r="44">
      <c r="B44" s="6" t="inlineStr">
        <is>
          <t>Snow, S</t>
        </is>
      </c>
      <c r="C44" s="20" t="n">
        <v>1.8</v>
      </c>
      <c r="D44" s="21">
        <f>IF(Input!$C$4="SI","kPa","psf")</f>
        <v/>
      </c>
      <c r="E44" s="22">
        <f>IF(Input!$C$4="SI",C44*0.001,C44*0.000047880259)</f>
        <v/>
      </c>
    </row>
    <row r="45">
      <c r="B45" s="6" t="inlineStr">
        <is>
          <t>Roof live, Lr</t>
        </is>
      </c>
      <c r="C45" s="20" t="n">
        <v>1</v>
      </c>
      <c r="D45" s="21">
        <f>IF(Input!$C$4="SI","kPa","psf")</f>
        <v/>
      </c>
      <c r="E45" s="22">
        <f>IF(Input!$C$4="SI",C45*0.001,C45*0.000047880259)</f>
        <v/>
      </c>
    </row>
    <row r="46" ht="26.25" customHeight="1">
      <c r="B46" s="49" t="inlineStr">
        <is>
          <t>Wind pressure (down/in), Wp</t>
        </is>
      </c>
      <c r="C46" s="20" t="n">
        <v>0.8</v>
      </c>
      <c r="D46" s="21">
        <f>IF(Input!$C$4="SI","kPa","psf")</f>
        <v/>
      </c>
      <c r="E46" s="22">
        <f>IF(Input!$C$4="SI",C46*0.001,C46*0.000047880259)</f>
        <v/>
      </c>
    </row>
    <row r="47" ht="26.25" customHeight="1">
      <c r="B47" s="49" t="inlineStr">
        <is>
          <t>Wind uplift/suction, Wu</t>
        </is>
      </c>
      <c r="C47" s="20" t="n">
        <v>1.2</v>
      </c>
      <c r="D47" s="21">
        <f>IF(Input!$C$4="SI","kPa","psf")</f>
        <v/>
      </c>
      <c r="E47" s="22">
        <f>IF(Input!$C$4="SI",C47*0.001,C47*0.000047880259)</f>
        <v/>
      </c>
      <c r="F47" s="53" t="inlineStr">
        <is>
          <t>magnitude, +ve; acts upward</t>
        </is>
      </c>
    </row>
    <row r="48">
      <c r="B48" s="50" t="inlineStr">
        <is>
          <t>Serviceability (deflection denominators, L/___)</t>
        </is>
      </c>
    </row>
    <row r="49">
      <c r="B49" s="6" t="inlineStr">
        <is>
          <t>Variable-load limit  L/</t>
        </is>
      </c>
      <c r="C49" s="20" t="n">
        <v>240</v>
      </c>
      <c r="D49" s="21" t="n"/>
      <c r="E49" s="14">
        <f>C49</f>
        <v/>
      </c>
    </row>
    <row r="50">
      <c r="B50" s="6" t="inlineStr">
        <is>
          <t>Total-load limit  L/</t>
        </is>
      </c>
      <c r="C50" s="20" t="n">
        <v>180</v>
      </c>
      <c r="D50" s="21" t="n"/>
      <c r="E50" s="14">
        <f>C50</f>
        <v/>
      </c>
    </row>
    <row r="52" ht="26.25" customHeight="1">
      <c r="B52" s="49" t="inlineStr">
        <is>
          <t>Axial compression Cf (optional strut)</t>
        </is>
      </c>
      <c r="C52" s="20" t="n">
        <v>0</v>
      </c>
      <c r="D52" s="21">
        <f>IF(Input!$C$4="SI","kN","kips")</f>
        <v/>
      </c>
      <c r="E52" s="22">
        <f>IF(Input!$C$4="SI",C52*1000,C52*4448.2216)</f>
        <v/>
      </c>
      <c r="F52" s="16" t="inlineStr">
        <is>
          <t>0 unless purlin also carries axial</t>
        </is>
      </c>
    </row>
    <row r="54">
      <c r="B54" s="54" t="inlineStr">
        <is>
          <t>GIRT  (wall member, horizontal)</t>
        </is>
      </c>
    </row>
    <row r="55">
      <c r="B55" s="50" t="inlineStr">
        <is>
          <t>Geometry &amp; bracing</t>
        </is>
      </c>
    </row>
    <row r="56" ht="26.25" customHeight="1">
      <c r="B56" s="49" t="inlineStr">
        <is>
          <t>Span, L (between columns)</t>
        </is>
      </c>
      <c r="C56" s="20" t="n">
        <v>6</v>
      </c>
      <c r="D56" s="21">
        <f>IF(Input!$C$4="SI","m","ft")</f>
        <v/>
      </c>
      <c r="E56" s="22">
        <f>IF(Input!$C$4="SI",C56*1000,C56*304.8)</f>
        <v/>
      </c>
    </row>
    <row r="57" ht="26.25" customHeight="1">
      <c r="B57" s="49" t="inlineStr">
        <is>
          <t>Girt spacing, s (vertical trib.)</t>
        </is>
      </c>
      <c r="C57" s="20" t="n">
        <v>1.8</v>
      </c>
      <c r="D57" s="21">
        <f>IF(Input!$C$4="SI","m","ft")</f>
        <v/>
      </c>
      <c r="E57" s="22">
        <f>IF(Input!$C$4="SI",C57*1000,C57*304.8)</f>
        <v/>
      </c>
    </row>
    <row r="58">
      <c r="B58" s="49" t="inlineStr">
        <is>
          <t>No. of sag-rod lines, n</t>
        </is>
      </c>
      <c r="C58" s="20" t="n">
        <v>1</v>
      </c>
      <c r="D58" s="21" t="n"/>
      <c r="E58" s="14">
        <f>C58</f>
        <v/>
      </c>
      <c r="F58" s="53" t="inlineStr">
        <is>
          <t>weak(vertical)-axis span = L/(n+1)</t>
        </is>
      </c>
    </row>
    <row r="59" ht="26.25" customHeight="1">
      <c r="B59" s="49" t="inlineStr">
        <is>
          <t>Comp. flange braced for wind PRESSURE?</t>
        </is>
      </c>
      <c r="C59" s="20" t="inlineStr">
        <is>
          <t>No</t>
        </is>
      </c>
      <c r="D59" s="23" t="n"/>
      <c r="E59" s="14">
        <f>C59</f>
        <v/>
      </c>
      <c r="F59" s="53" t="inlineStr">
        <is>
          <t>interior flange comp.</t>
        </is>
      </c>
    </row>
    <row r="60" ht="26.25" customHeight="1">
      <c r="B60" s="49" t="inlineStr">
        <is>
          <t xml:space="preserve">  if No → unbraced length Lu(+)</t>
        </is>
      </c>
      <c r="C60" s="20" t="n">
        <v>3</v>
      </c>
      <c r="D60" s="21">
        <f>IF(Input!$C$4="SI","m","ft")</f>
        <v/>
      </c>
      <c r="E60" s="22">
        <f>IF(Input!$C$4="SI",C60*1000,C60*304.8)</f>
        <v/>
      </c>
    </row>
    <row r="61" ht="26.25" customHeight="1">
      <c r="B61" s="49" t="inlineStr">
        <is>
          <t>Comp. flange braced for wind SUCTION?</t>
        </is>
      </c>
      <c r="C61" s="20" t="inlineStr">
        <is>
          <t>Yes</t>
        </is>
      </c>
      <c r="D61" s="23" t="n"/>
      <c r="E61" s="14">
        <f>C61</f>
        <v/>
      </c>
      <c r="F61" s="53" t="inlineStr">
        <is>
          <t>cladding braces exterior flange</t>
        </is>
      </c>
    </row>
    <row r="62" ht="26.25" customHeight="1">
      <c r="B62" s="49" t="inlineStr">
        <is>
          <t xml:space="preserve">  if No → unbraced length Lu(–)</t>
        </is>
      </c>
      <c r="C62" s="20" t="n">
        <v>3</v>
      </c>
      <c r="D62" s="21">
        <f>IF(Input!$C$4="SI","m","ft")</f>
        <v/>
      </c>
      <c r="E62" s="22">
        <f>IF(Input!$C$4="SI",C62*1000,C62*304.8)</f>
        <v/>
      </c>
    </row>
    <row r="63" ht="26.25" customHeight="1">
      <c r="B63" s="49" t="inlineStr">
        <is>
          <t>Moment-gradient factor, ω2</t>
        </is>
      </c>
      <c r="C63" s="20" t="n">
        <v>1</v>
      </c>
      <c r="D63" s="21" t="n"/>
      <c r="E63" s="14">
        <f>C63</f>
        <v/>
      </c>
    </row>
    <row r="64">
      <c r="B64" s="50" t="inlineStr">
        <is>
          <t>Section properties  (from CISC Handbook)</t>
        </is>
      </c>
    </row>
    <row r="65" ht="26.25" customHeight="1">
      <c r="B65" s="49" t="inlineStr">
        <is>
          <t>Section type  (W / C / HSS)</t>
        </is>
      </c>
      <c r="C65" s="20" t="inlineStr">
        <is>
          <t>W</t>
        </is>
      </c>
      <c r="D65" s="23" t="n"/>
      <c r="E65" s="14">
        <f>C65</f>
        <v/>
      </c>
      <c r="F65" s="53" t="inlineStr">
        <is>
          <t>W=I-shape, C=channel, HSS=rect. hollow</t>
        </is>
      </c>
    </row>
    <row r="66">
      <c r="B66" s="6" t="inlineStr">
        <is>
          <t>Depth, d</t>
        </is>
      </c>
      <c r="C66" s="20" t="n">
        <v>250</v>
      </c>
      <c r="D66" s="21">
        <f>IF(Input!$C$4="SI","mm","in")</f>
        <v/>
      </c>
      <c r="E66" s="22">
        <f>IF(Input!$C$4="SI",C66*1,C66*25.4)</f>
        <v/>
      </c>
    </row>
    <row r="67">
      <c r="B67" s="6" t="inlineStr">
        <is>
          <t>Flange width, bf</t>
        </is>
      </c>
      <c r="C67" s="20" t="n">
        <v>146</v>
      </c>
      <c r="D67" s="21">
        <f>IF(Input!$C$4="SI","mm","in")</f>
        <v/>
      </c>
      <c r="E67" s="22">
        <f>IF(Input!$C$4="SI",C67*1,C67*25.4)</f>
        <v/>
      </c>
    </row>
    <row r="68">
      <c r="B68" s="6" t="inlineStr">
        <is>
          <t>Flange thickness, tf</t>
        </is>
      </c>
      <c r="C68" s="20" t="n">
        <v>12.7</v>
      </c>
      <c r="D68" s="21">
        <f>IF(Input!$C$4="SI","mm","in")</f>
        <v/>
      </c>
      <c r="E68" s="22">
        <f>IF(Input!$C$4="SI",C68*1,C68*25.4)</f>
        <v/>
      </c>
      <c r="F68" s="53" t="inlineStr">
        <is>
          <t>for HSS enter wall t</t>
        </is>
      </c>
    </row>
    <row r="69">
      <c r="B69" s="6" t="inlineStr">
        <is>
          <t>Web thickness, w</t>
        </is>
      </c>
      <c r="C69" s="20" t="n">
        <v>6.1</v>
      </c>
      <c r="D69" s="21">
        <f>IF(Input!$C$4="SI","mm","in")</f>
        <v/>
      </c>
      <c r="E69" s="22">
        <f>IF(Input!$C$4="SI",C69*1,C69*25.4)</f>
        <v/>
      </c>
      <c r="F69" s="53" t="inlineStr">
        <is>
          <t>for HSS enter wall t</t>
        </is>
      </c>
    </row>
    <row r="70">
      <c r="B70" s="6" t="inlineStr">
        <is>
          <t>Area, A</t>
        </is>
      </c>
      <c r="C70" s="20" t="n">
        <v>4000</v>
      </c>
      <c r="D70" s="21">
        <f>IF(Input!$C$4="SI","mm²","in²")</f>
        <v/>
      </c>
      <c r="E70" s="22">
        <f>IF(Input!$C$4="SI",C70*1,C70*645.16)</f>
        <v/>
      </c>
    </row>
    <row r="71">
      <c r="B71" s="6" t="inlineStr">
        <is>
          <t>Ix</t>
        </is>
      </c>
      <c r="C71" s="20" t="n">
        <v>49.1</v>
      </c>
      <c r="D71" s="21">
        <f>IF(Input!$C$4="SI","10⁶mm⁴","in⁴")</f>
        <v/>
      </c>
      <c r="E71" s="22">
        <f>IF(Input!$C$4="SI",C71*1000000,C71*416231.4256)</f>
        <v/>
      </c>
    </row>
    <row r="72">
      <c r="B72" s="6" t="inlineStr">
        <is>
          <t>Iy</t>
        </is>
      </c>
      <c r="C72" s="20" t="n">
        <v>6.63</v>
      </c>
      <c r="D72" s="21">
        <f>IF(Input!$C$4="SI","10⁶mm⁴","in⁴")</f>
        <v/>
      </c>
      <c r="E72" s="22">
        <f>IF(Input!$C$4="SI",C72*1000000,C72*416231.4256)</f>
        <v/>
      </c>
    </row>
    <row r="73">
      <c r="B73" s="6" t="inlineStr">
        <is>
          <t>Sx</t>
        </is>
      </c>
      <c r="C73" s="20" t="n">
        <v>393</v>
      </c>
      <c r="D73" s="21">
        <f>IF(Input!$C$4="SI","10³mm³","in³")</f>
        <v/>
      </c>
      <c r="E73" s="22">
        <f>IF(Input!$C$4="SI",C73*1000,C73*16387.064)</f>
        <v/>
      </c>
    </row>
    <row r="74">
      <c r="B74" s="6" t="inlineStr">
        <is>
          <t>Sy</t>
        </is>
      </c>
      <c r="C74" s="20" t="n">
        <v>90.8</v>
      </c>
      <c r="D74" s="21">
        <f>IF(Input!$C$4="SI","10³mm³","in³")</f>
        <v/>
      </c>
      <c r="E74" s="22">
        <f>IF(Input!$C$4="SI",C74*1000,C74*16387.064)</f>
        <v/>
      </c>
    </row>
    <row r="75">
      <c r="B75" s="6" t="inlineStr">
        <is>
          <t>Zx (plastic)</t>
        </is>
      </c>
      <c r="C75" s="20" t="n">
        <v>443</v>
      </c>
      <c r="D75" s="21">
        <f>IF(Input!$C$4="SI","10³mm³","in³")</f>
        <v/>
      </c>
      <c r="E75" s="22">
        <f>IF(Input!$C$4="SI",C75*1000,C75*16387.064)</f>
        <v/>
      </c>
    </row>
    <row r="76">
      <c r="B76" s="6" t="inlineStr">
        <is>
          <t>Zy (plastic)</t>
        </is>
      </c>
      <c r="C76" s="20" t="n">
        <v>139</v>
      </c>
      <c r="D76" s="21">
        <f>IF(Input!$C$4="SI","10³mm³","in³")</f>
        <v/>
      </c>
      <c r="E76" s="22">
        <f>IF(Input!$C$4="SI",C76*1000,C76*16387.064)</f>
        <v/>
      </c>
    </row>
    <row r="77">
      <c r="B77" s="6" t="inlineStr">
        <is>
          <t>Torsion constant, J</t>
        </is>
      </c>
      <c r="C77" s="20" t="n">
        <v>209</v>
      </c>
      <c r="D77" s="21">
        <f>IF(Input!$C$4="SI","10³mm⁴","in⁴")</f>
        <v/>
      </c>
      <c r="E77" s="22">
        <f>IF(Input!$C$4="SI",C77*1000,C77*416231.4256)</f>
        <v/>
      </c>
    </row>
    <row r="78">
      <c r="B78" s="49" t="inlineStr">
        <is>
          <t>Warping constant, Cw</t>
        </is>
      </c>
      <c r="C78" s="20" t="n">
        <v>95.8</v>
      </c>
      <c r="D78" s="21">
        <f>IF(Input!$C$4="SI","10⁹mm⁶","in⁶")</f>
        <v/>
      </c>
      <c r="E78" s="22">
        <f>IF(Input!$C$4="SI",C78*1000000000,C78*268535866.540096)</f>
        <v/>
      </c>
    </row>
    <row r="79">
      <c r="B79" s="50" t="inlineStr">
        <is>
          <t>Loads</t>
        </is>
      </c>
    </row>
    <row r="80" ht="26.25" customHeight="1">
      <c r="B80" s="49" t="inlineStr">
        <is>
          <t>Wind pressure (inward), Wp</t>
        </is>
      </c>
      <c r="C80" s="20" t="n">
        <v>1</v>
      </c>
      <c r="D80" s="21">
        <f>IF(Input!$C$4="SI","kPa","psf")</f>
        <v/>
      </c>
      <c r="E80" s="22">
        <f>IF(Input!$C$4="SI",C80*0.001,C80*0.000047880259)</f>
        <v/>
      </c>
    </row>
    <row r="81" ht="26.25" customHeight="1">
      <c r="B81" s="49" t="inlineStr">
        <is>
          <t>Wind suction (outward), Wu</t>
        </is>
      </c>
      <c r="C81" s="20" t="n">
        <v>1.2</v>
      </c>
      <c r="D81" s="21">
        <f>IF(Input!$C$4="SI","kPa","psf")</f>
        <v/>
      </c>
      <c r="E81" s="22">
        <f>IF(Input!$C$4="SI",C81*0.001,C81*0.000047880259)</f>
        <v/>
      </c>
      <c r="F81" s="53" t="inlineStr">
        <is>
          <t>magnitude, +ve</t>
        </is>
      </c>
    </row>
    <row r="82" ht="26.25" customHeight="1">
      <c r="B82" s="49" t="inlineStr">
        <is>
          <t>Cladding dead (vertical), Dc</t>
        </is>
      </c>
      <c r="C82" s="20" t="n">
        <v>0.15</v>
      </c>
      <c r="D82" s="21">
        <f>IF(Input!$C$4="SI","kPa","psf")</f>
        <v/>
      </c>
      <c r="E82" s="22">
        <f>IF(Input!$C$4="SI",C82*0.001,C82*0.000047880259)</f>
        <v/>
      </c>
      <c r="F82" s="53" t="inlineStr">
        <is>
          <t>weak-axis gravity</t>
        </is>
      </c>
    </row>
    <row r="83">
      <c r="B83" s="50" t="inlineStr">
        <is>
          <t>Serviceability (deflection denominators, L/___)</t>
        </is>
      </c>
    </row>
    <row r="84" ht="26.25" customHeight="1">
      <c r="B84" s="49" t="inlineStr">
        <is>
          <t>Wind (strong axis) limit  L/</t>
        </is>
      </c>
      <c r="C84" s="20" t="n">
        <v>240</v>
      </c>
      <c r="D84" s="21" t="n"/>
      <c r="E84" s="14">
        <f>C84</f>
        <v/>
      </c>
    </row>
    <row r="85" ht="26.25" customHeight="1">
      <c r="B85" s="49" t="inlineStr">
        <is>
          <t>Gravity (weak axis) limit  L/</t>
        </is>
      </c>
      <c r="C85" s="20" t="n">
        <v>240</v>
      </c>
      <c r="D85" s="21" t="n"/>
      <c r="E85" s="14">
        <f>C85</f>
        <v/>
      </c>
    </row>
    <row r="86" ht="26.25" customHeight="1">
      <c r="B86" s="49" t="inlineStr">
        <is>
          <t>Axial compression Cf (optional strut)</t>
        </is>
      </c>
      <c r="C86" s="20" t="n">
        <v>0</v>
      </c>
      <c r="D86" s="21">
        <f>IF(Input!$C$4="SI","kN","kips")</f>
        <v/>
      </c>
      <c r="E86" s="22">
        <f>IF(Input!$C$4="SI",C86*1000,C86*4448.2216)</f>
        <v/>
      </c>
      <c r="F86" s="16" t="inlineStr">
        <is>
          <t>e.g. wind-column / strut girt</t>
        </is>
      </c>
    </row>
  </sheetData>
  <mergeCells count="12">
    <mergeCell ref="B83:F83"/>
    <mergeCell ref="B55:F55"/>
    <mergeCell ref="B16:F16"/>
    <mergeCell ref="B48:F48"/>
    <mergeCell ref="B54:F54"/>
    <mergeCell ref="B64:F64"/>
    <mergeCell ref="B42:F42"/>
    <mergeCell ref="B79:F79"/>
    <mergeCell ref="B1:F1"/>
    <mergeCell ref="B17:F17"/>
    <mergeCell ref="B9:F9"/>
    <mergeCell ref="B27:F27"/>
  </mergeCells>
  <dataValidations count="1">
    <dataValidation sqref="C4" showDropDown="0" showInputMessage="0" showErrorMessage="0" allowBlank="0" type="list">
      <formula1>"SI,Imperial"</formula1>
      <formula2>0</formula2>
    </dataValidation>
  </dataValidations>
  <pageMargins left="0.4" right="0.4" top="0.5" bottom="0.5" header="0.511811023622047" footer="0.5"/>
  <pageSetup orientation="portrait" fitToHeight="0" horizontalDpi="300" verticalDpi="300"/>
  <headerFooter>
    <oddHeader/>
    <oddFooter>&amp;C&amp;8 CSA S16-19 Purlin Girt Design  |  &amp;A  |  Page &amp;P of &amp;N</oddFooter>
    <evenHeader/>
    <evenFooter/>
    <firstHeader/>
    <firstFooter/>
  </headerFooter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B1:K73"/>
  <sheetViews>
    <sheetView showGridLines="0" zoomScale="200" zoomScaleNormal="200" workbookViewId="0">
      <pane ySplit="1" topLeftCell="A32" activePane="bottomLeft" state="frozen"/>
      <selection pane="bottomLeft" activeCell="C40" sqref="C40"/>
    </sheetView>
  </sheetViews>
  <sheetFormatPr baseColWidth="8" defaultColWidth="8.7109375" defaultRowHeight="15"/>
  <cols>
    <col width="3" customWidth="1" min="1" max="1"/>
    <col width="42" customWidth="1" min="2" max="2"/>
    <col width="16" customWidth="1" min="3" max="3"/>
    <col width="14" customWidth="1" min="4" max="4"/>
    <col width="10" customWidth="1" min="5" max="5"/>
    <col width="20" customWidth="1" min="6" max="6"/>
    <col width="11" customWidth="1" min="7" max="11"/>
  </cols>
  <sheetData>
    <row r="1" ht="19.5" customHeight="1">
      <c r="B1" s="51" t="inlineStr">
        <is>
          <t>CSA S16-19  —  PURLIN DESIGN CHECKS</t>
        </is>
      </c>
    </row>
    <row r="3">
      <c r="B3" s="50" t="inlineStr">
        <is>
          <t>1.  Derived geometry</t>
        </is>
      </c>
    </row>
    <row r="4">
      <c r="B4" s="6" t="inlineStr">
        <is>
          <t>Span, L</t>
        </is>
      </c>
      <c r="C4" s="24">
        <f>Input!$E$18</f>
        <v/>
      </c>
      <c r="D4" s="25">
        <f>C4*IF(Input!$C$4="SI",0.001,0.00328083989501312)</f>
        <v/>
      </c>
      <c r="E4" s="21">
        <f>IF(Input!$C$4="SI","m","ft")</f>
        <v/>
      </c>
    </row>
    <row r="5">
      <c r="B5" s="6" t="inlineStr">
        <is>
          <t>Weak-axis span between sag rods, Ly</t>
        </is>
      </c>
      <c r="C5" s="24">
        <f>Input!$E$18/(Input!$E$21+1)</f>
        <v/>
      </c>
      <c r="D5" s="25">
        <f>C5*IF(Input!$C$4="SI",0.001,0.00328083989501312)</f>
        <v/>
      </c>
      <c r="E5" s="21">
        <f>IF(Input!$C$4="SI","m","ft")</f>
        <v/>
      </c>
      <c r="F5" s="26" t="inlineStr">
        <is>
          <t>L/(n+1)</t>
        </is>
      </c>
    </row>
    <row r="6">
      <c r="B6" s="6" t="inlineStr">
        <is>
          <t>Radius of gyration rx</t>
        </is>
      </c>
      <c r="C6" s="24">
        <f>SQRT(Input!$E$34/Input!$E$33)</f>
        <v/>
      </c>
      <c r="D6" s="25">
        <f>C6*IF(Input!$C$4="SI",1,0.0393700787401575)</f>
        <v/>
      </c>
      <c r="E6" s="21">
        <f>IF(Input!$C$4="SI","mm","in")</f>
        <v/>
      </c>
    </row>
    <row r="7">
      <c r="B7" s="6" t="inlineStr">
        <is>
          <t>Radius of gyration ry</t>
        </is>
      </c>
      <c r="C7" s="24">
        <f>SQRT(Input!$E$35/Input!$E$33)</f>
        <v/>
      </c>
      <c r="D7" s="25">
        <f>C7*IF(Input!$C$4="SI",1,0.0393700787401575)</f>
        <v/>
      </c>
      <c r="E7" s="21">
        <f>IF(Input!$C$4="SI","mm","in")</f>
        <v/>
      </c>
    </row>
    <row r="9">
      <c r="B9" s="50" t="inlineStr">
        <is>
          <t>2.  Section classification  (Cl. 11, Table 1)</t>
        </is>
      </c>
    </row>
    <row r="10">
      <c r="B10" s="6" t="inlineStr">
        <is>
          <t>Flange element width, bel</t>
        </is>
      </c>
      <c r="C10" s="27">
        <f>IF(Input!$E$28="W",Input!$E$30/2,IF(Input!$E$28="C",Input!$E$30,Input!$E$30-4*Input!$E$32))</f>
        <v/>
      </c>
      <c r="F10" s="26" t="inlineStr">
        <is>
          <t>Cl.11.3</t>
        </is>
      </c>
    </row>
    <row r="11">
      <c r="B11" s="6" t="inlineStr">
        <is>
          <t>Web element height, h</t>
        </is>
      </c>
      <c r="C11" s="27">
        <f>IF(Input!$E$28="HSS",Input!$E$29-4*Input!$E$32,Input!$E$29-2*Input!$E$31)</f>
        <v/>
      </c>
      <c r="F11" s="26" t="inlineStr">
        <is>
          <t>Cl.11.3</t>
        </is>
      </c>
    </row>
    <row r="12">
      <c r="B12" s="6" t="inlineStr">
        <is>
          <t>Flange b/t</t>
        </is>
      </c>
      <c r="C12" s="25">
        <f>C10/Input!$E$31</f>
        <v/>
      </c>
    </row>
    <row r="13">
      <c r="B13" s="6" t="inlineStr">
        <is>
          <t>Web h/w</t>
        </is>
      </c>
      <c r="C13" s="25">
        <f>C11/Input!$E$32</f>
        <v/>
      </c>
    </row>
    <row r="14">
      <c r="B14" s="6" t="inlineStr">
        <is>
          <t>Flange class</t>
        </is>
      </c>
      <c r="C14" s="12">
        <f>IF(C12&lt;=IF(Input!$E$28="HSS",420,145)/SQRT(Input!$E$10),1,IF(C12&lt;=IF(Input!$E$28="HSS",525,170)/SQRT(Input!$E$10),2,IF(C12&lt;=IF(Input!$E$28="HSS",670,200)/SQRT(Input!$E$10),3,4)))</f>
        <v/>
      </c>
      <c r="F14" s="26" t="inlineStr">
        <is>
          <t>Table 1</t>
        </is>
      </c>
    </row>
    <row r="15">
      <c r="B15" s="6" t="inlineStr">
        <is>
          <t>Web class (pure flexure)</t>
        </is>
      </c>
      <c r="C15" s="12">
        <f>IF(C13&lt;=1100/SQRT(Input!$E$10),1,IF(C13&lt;=1700/SQRT(Input!$E$10),2,IF(C13&lt;=1900/SQRT(Input!$E$10),3,4)))</f>
        <v/>
      </c>
      <c r="F15" s="26" t="inlineStr">
        <is>
          <t>Table 1</t>
        </is>
      </c>
    </row>
    <row r="16">
      <c r="B16" s="10" t="inlineStr">
        <is>
          <t>Governing class</t>
        </is>
      </c>
      <c r="C16" s="28">
        <f>MAX(C14,C15)</f>
        <v/>
      </c>
      <c r="F16" s="26" t="inlineStr">
        <is>
          <t>Cl.11.1</t>
        </is>
      </c>
    </row>
    <row r="17">
      <c r="B17" s="17" t="inlineStr">
        <is>
          <t>→ Class 4 requires CSA S136 / effective section</t>
        </is>
      </c>
    </row>
    <row r="19">
      <c r="B19" s="50" t="inlineStr">
        <is>
          <t>3.  Member resistances  (φ = 0.90, Cl. 13.1)</t>
        </is>
      </c>
    </row>
    <row r="20">
      <c r="B20" s="6" t="inlineStr">
        <is>
          <t>Plastic moment Mp = Zx·Fy</t>
        </is>
      </c>
      <c r="C20" s="24">
        <f>Input!$E$38*Input!$E$10</f>
        <v/>
      </c>
      <c r="D20" s="25">
        <f>C20*IF(Input!$C$4="SI",0.000001,7.37562151807618E-07)</f>
        <v/>
      </c>
      <c r="E20" s="21">
        <f>IF(Input!$C$4="SI","kN·m","kip·ft")</f>
        <v/>
      </c>
    </row>
    <row r="21">
      <c r="B21" s="6" t="inlineStr">
        <is>
          <t>Yield moment My = Sx·Fy</t>
        </is>
      </c>
      <c r="C21" s="24">
        <f>Input!$E$36*Input!$E$10</f>
        <v/>
      </c>
      <c r="D21" s="25">
        <f>C21*IF(Input!$C$4="SI",0.000001,7.37562151807618E-07)</f>
        <v/>
      </c>
      <c r="E21" s="21">
        <f>IF(Input!$C$4="SI","kN·m","kip·ft")</f>
        <v/>
      </c>
    </row>
    <row r="22">
      <c r="B22" s="6" t="inlineStr">
        <is>
          <t>Mrx – laterally supported</t>
        </is>
      </c>
      <c r="C22" s="24">
        <f>IF(C16&lt;=2,0.9*Input!$E$38*Input!$E$10,IF(C16=3,0.9*Input!$E$36*Input!$E$10,0.9*Input!$E$36*Input!$E$10))</f>
        <v/>
      </c>
      <c r="D22" s="25">
        <f>C22*IF(Input!$C$4="SI",0.000001,7.37562151807618E-07)</f>
        <v/>
      </c>
      <c r="E22" s="21">
        <f>IF(Input!$C$4="SI","kN·m","kip·ft")</f>
        <v/>
      </c>
      <c r="F22" s="26" t="inlineStr">
        <is>
          <t>Cl.13.5(a)/(b)</t>
        </is>
      </c>
    </row>
    <row r="23">
      <c r="B23" s="6" t="inlineStr">
        <is>
          <t>Mu (critical elastic) at Lu(+)</t>
        </is>
      </c>
      <c r="C23" s="24">
        <f>IF(Input!$E$23&gt;0,(Input!$E$26*PI()/Input!$E$23)*SQRT(Input!$E$12*Input!$E$35*Input!$E$13*Input!$E$40+(PI()*Input!$E$12/Input!$E$23)^2*Input!$E$35*Input!$E$41),1E+30)</f>
        <v/>
      </c>
      <c r="D23" s="25">
        <f>C23*IF(Input!$C$4="SI",0.000001,7.37562151807618E-07)</f>
        <v/>
      </c>
      <c r="E23" s="21">
        <f>IF(Input!$C$4="SI","kN·m","kip·ft")</f>
        <v/>
      </c>
      <c r="F23" s="26" t="inlineStr">
        <is>
          <t>Cl.13.6.1(a)</t>
        </is>
      </c>
    </row>
    <row r="24">
      <c r="B24" s="6" t="inlineStr">
        <is>
          <t>Mu (critical elastic) at Lu(–)</t>
        </is>
      </c>
      <c r="C24" s="24">
        <f>IF(Input!$E$25&gt;0,(Input!$E$26*PI()/Input!$E$25)*SQRT(Input!$E$12*Input!$E$35*Input!$E$13*Input!$E$40+(PI()*Input!$E$12/Input!$E$25)^2*Input!$E$35*Input!$E$41),1E+30)</f>
        <v/>
      </c>
      <c r="D24" s="25">
        <f>C24*IF(Input!$C$4="SI",0.000001,7.37562151807618E-07)</f>
        <v/>
      </c>
      <c r="E24" s="21">
        <f>IF(Input!$C$4="SI","kN·m","kip·ft")</f>
        <v/>
      </c>
      <c r="F24" s="26" t="inlineStr">
        <is>
          <t>Cl.13.6.1(a)</t>
        </is>
      </c>
    </row>
    <row r="25">
      <c r="B25" s="6" t="inlineStr">
        <is>
          <t>Mrx – LTB at Lu(+)</t>
        </is>
      </c>
      <c r="C25" s="24">
        <f>IF(C23&gt;0.67*IF(C16&lt;=2,C20,C21),MIN(1.15*0.9*IF(C16&lt;=2,C20,C21)*(1-0.28*IF(C16&lt;=2,C20,C21)/C23),0.9*IF(C16&lt;=2,C20,C21)),0.9*C23)</f>
        <v/>
      </c>
      <c r="D25" s="25">
        <f>C25*IF(Input!$C$4="SI",0.000001,7.37562151807618E-07)</f>
        <v/>
      </c>
      <c r="E25" s="21">
        <f>IF(Input!$C$4="SI","kN·m","kip·ft")</f>
        <v/>
      </c>
      <c r="F25" s="26" t="inlineStr">
        <is>
          <t>Cl.13.6.1(a)</t>
        </is>
      </c>
    </row>
    <row r="26">
      <c r="B26" s="6" t="inlineStr">
        <is>
          <t>Mrx – LTB at Lu(–)</t>
        </is>
      </c>
      <c r="C26" s="24">
        <f>IF(C24&gt;0.67*IF(C16&lt;=2,C20,C21),MIN(1.15*0.9*IF(C16&lt;=2,C20,C21)*(1-0.28*IF(C16&lt;=2,C20,C21)/C24),0.9*IF(C16&lt;=2,C20,C21)),0.9*C24)</f>
        <v/>
      </c>
      <c r="D26" s="25">
        <f>C26*IF(Input!$C$4="SI",0.000001,7.37562151807618E-07)</f>
        <v/>
      </c>
      <c r="E26" s="21">
        <f>IF(Input!$C$4="SI","kN·m","kip·ft")</f>
        <v/>
      </c>
      <c r="F26" s="26" t="inlineStr">
        <is>
          <t>Cl.13.6.1(a)</t>
        </is>
      </c>
    </row>
    <row r="27">
      <c r="B27" s="29" t="inlineStr">
        <is>
          <t>Mrx used, load +ve</t>
        </is>
      </c>
      <c r="C27" s="30">
        <f>IF(Input!$E$22="Yes",C22,C25)</f>
        <v/>
      </c>
      <c r="D27" s="31">
        <f>C27*IF(Input!$C$4="SI",0.000001,7.37562151807618E-07)</f>
        <v/>
      </c>
      <c r="E27" s="32">
        <f>IF(Input!$C$4="SI","kN·m","kip·ft")</f>
        <v/>
      </c>
      <c r="F27" s="26" t="inlineStr">
        <is>
          <t>Cl.13.5/13.6</t>
        </is>
      </c>
    </row>
    <row r="28">
      <c r="B28" s="29" t="inlineStr">
        <is>
          <t>Mrx used, load –ve</t>
        </is>
      </c>
      <c r="C28" s="30">
        <f>IF(Input!$E$24="Yes",C22,C26)</f>
        <v/>
      </c>
      <c r="D28" s="31">
        <f>C28*IF(Input!$C$4="SI",0.000001,7.37562151807618E-07)</f>
        <v/>
      </c>
      <c r="E28" s="32">
        <f>IF(Input!$C$4="SI","kN·m","kip·ft")</f>
        <v/>
      </c>
      <c r="F28" s="26" t="inlineStr">
        <is>
          <t>Cl.13.5/13.6</t>
        </is>
      </c>
    </row>
    <row r="29">
      <c r="B29" s="29" t="inlineStr">
        <is>
          <t>Mry (weak axis)</t>
        </is>
      </c>
      <c r="C29" s="30">
        <f>IF(C16&lt;=2,0.9*Input!$E$39*Input!$E$10,0.9*Input!$E$37*Input!$E$10)</f>
        <v/>
      </c>
      <c r="D29" s="31">
        <f>C29*IF(Input!$C$4="SI",0.000001,7.37562151807618E-07)</f>
        <v/>
      </c>
      <c r="E29" s="32">
        <f>IF(Input!$C$4="SI","kN·m","kip·ft")</f>
        <v/>
      </c>
      <c r="F29" s="26" t="inlineStr">
        <is>
          <t>Cl.13.5(a)/(b)</t>
        </is>
      </c>
    </row>
    <row r="30">
      <c r="B30" s="6" t="inlineStr">
        <is>
          <t>Shear area Aw</t>
        </is>
      </c>
      <c r="C30" s="33">
        <f>IF(Input!$E$28="HSS",2*(Input!$E$29-4*Input!$E$32)*Input!$E$32,Input!$E$29*Input!$E$32)</f>
        <v/>
      </c>
      <c r="F30" s="26" t="inlineStr">
        <is>
          <t>Cl.13.4.1</t>
        </is>
      </c>
    </row>
    <row r="31" ht="24" customHeight="1">
      <c r="B31" s="6" t="inlineStr">
        <is>
          <t>Shear stress Fs</t>
        </is>
      </c>
      <c r="C31" s="27">
        <f>IF(C13&lt;=1014*SQRT(5.34/Input!$E$10),0.66*Input!$E$10,IF(C13&lt;=1435*SQRT(5.34/Input!$E$10),670*SQRT(5.34*Input!$E$10)/C13,961200*5.34/C13^2))</f>
        <v/>
      </c>
      <c r="F31" s="26" t="inlineStr">
        <is>
          <t>Cl.13.4.1.1 (kv = 5.34, unstiffened web)</t>
        </is>
      </c>
    </row>
    <row r="32">
      <c r="B32" s="29" t="inlineStr">
        <is>
          <t>Vr = φ·Aw·Fs</t>
        </is>
      </c>
      <c r="C32" s="30">
        <f>0.9*C30*C31</f>
        <v/>
      </c>
      <c r="D32" s="31">
        <f>C32*IF(Input!$C$4="SI",0.001,0.000224808943870962)</f>
        <v/>
      </c>
      <c r="E32" s="32">
        <f>IF(Input!$C$4="SI","kN","kips")</f>
        <v/>
      </c>
      <c r="F32" s="26" t="inlineStr">
        <is>
          <t>Cl.13.4.1</t>
        </is>
      </c>
    </row>
    <row r="33">
      <c r="B33" s="6" t="inlineStr">
        <is>
          <t>Cr (axial, weak-axis buckl.) – opt.</t>
        </is>
      </c>
      <c r="C33" s="24">
        <f>0.9*Input!$E$33*Input!$E$10*(1+(SQRT(Input!$E$10/(PI()^2*Input!$E$12/(MAX(Input!$E$18/C6,C5/C7))^2)))^(2*1.34))^(-1/1.34)</f>
        <v/>
      </c>
      <c r="D33" s="25">
        <f>C33*IF(Input!$C$4="SI",0.001,0.000224808943870962)</f>
        <v/>
      </c>
      <c r="E33" s="21">
        <f>IF(Input!$C$4="SI","kN","kips")</f>
        <v/>
      </c>
      <c r="F33" s="26" t="inlineStr">
        <is>
          <t>Cl.13.3.1</t>
        </is>
      </c>
    </row>
    <row r="35">
      <c r="B35" s="50" t="inlineStr">
        <is>
          <t>4.  Unfactored line loads  (strong wx, weak wy) [N/mm]</t>
        </is>
      </c>
    </row>
    <row r="36">
      <c r="B36" s="16" t="inlineStr">
        <is>
          <t>Auto self-weight included in D</t>
        </is>
      </c>
    </row>
    <row r="37">
      <c r="B37" s="34" t="inlineStr">
        <is>
          <t>Load</t>
        </is>
      </c>
      <c r="C37" s="34" t="inlineStr">
        <is>
          <t>wx (N/mm)</t>
        </is>
      </c>
      <c r="D37" s="34" t="inlineStr">
        <is>
          <t>wy (N/mm)</t>
        </is>
      </c>
    </row>
    <row r="38">
      <c r="B38" s="6" t="inlineStr">
        <is>
          <t>D</t>
        </is>
      </c>
      <c r="C38" s="35">
        <f>(Input!$E$43*Input!$E$19+Input!$E$33*Input!$E$14*0.000001)*COS(RADIANS(Input!$E$20))</f>
        <v/>
      </c>
      <c r="D38" s="35">
        <f>(Input!$E$43*Input!$E$19+Input!$E$33*Input!$E$14*0.000001)*SIN(RADIANS(Input!$E$20))</f>
        <v/>
      </c>
    </row>
    <row r="39">
      <c r="B39" s="6" t="inlineStr">
        <is>
          <t>S</t>
        </is>
      </c>
      <c r="C39" s="35">
        <f>Input!$E$44*Input!$E$19*COS(RADIANS(Input!$E$20))</f>
        <v/>
      </c>
      <c r="D39" s="35">
        <f>Input!$E$44*Input!$E$19*SIN(RADIANS(Input!$E$20))</f>
        <v/>
      </c>
    </row>
    <row r="40">
      <c r="B40" s="6" t="inlineStr">
        <is>
          <t>Lr</t>
        </is>
      </c>
      <c r="C40" s="35">
        <f>Input!$E$45*Input!$E$19*COS(RADIANS(Input!$E$20))</f>
        <v/>
      </c>
      <c r="D40" s="35">
        <f>Input!$E$45*Input!$E$19*SIN(RADIANS(Input!$E$20))</f>
        <v/>
      </c>
    </row>
    <row r="41">
      <c r="B41" s="6" t="inlineStr">
        <is>
          <t>Wp</t>
        </is>
      </c>
      <c r="C41" s="35">
        <f>Input!$E$46*Input!$E$19</f>
        <v/>
      </c>
      <c r="D41" s="35">
        <f>0</f>
        <v/>
      </c>
    </row>
    <row r="42">
      <c r="B42" s="6" t="inlineStr">
        <is>
          <t>Wu</t>
        </is>
      </c>
      <c r="C42" s="35">
        <f>-Input!$E$47*Input!$E$19</f>
        <v/>
      </c>
      <c r="D42" s="35">
        <f>0</f>
        <v/>
      </c>
    </row>
    <row r="44">
      <c r="B44" s="50" t="inlineStr">
        <is>
          <t>5.  ULS load combinations  (NBCC 2020)  →  utilizations</t>
        </is>
      </c>
    </row>
    <row r="45">
      <c r="B45" s="34" t="inlineStr">
        <is>
          <t>Combination</t>
        </is>
      </c>
      <c r="C45" s="34" t="inlineStr">
        <is>
          <t>wx [N/mm]</t>
        </is>
      </c>
      <c r="D45" s="34" t="inlineStr">
        <is>
          <t>wy [N/mm]</t>
        </is>
      </c>
      <c r="E45" s="34">
        <f>IF(Input!$C$4="SI","Mfx [kN·m]","Mfx [kip·ft]")</f>
        <v/>
      </c>
      <c r="F45" s="34">
        <f>IF(Input!$C$4="SI","Mfy [kN·m]","Mfy [kip·ft]")</f>
        <v/>
      </c>
      <c r="G45" s="34">
        <f>IF(Input!$C$4="SI","Vf [kN]","Vf [kips]")</f>
        <v/>
      </c>
      <c r="H45" s="34" t="inlineStr">
        <is>
          <t>Ux</t>
        </is>
      </c>
      <c r="I45" s="34" t="inlineStr">
        <is>
          <t>Uy</t>
        </is>
      </c>
      <c r="J45" s="34" t="inlineStr">
        <is>
          <t>Ux+Uy</t>
        </is>
      </c>
      <c r="K45" s="34" t="inlineStr">
        <is>
          <t>Vf/Vr</t>
        </is>
      </c>
    </row>
    <row r="46">
      <c r="B46" s="36" t="inlineStr">
        <is>
          <t>1.4D</t>
        </is>
      </c>
      <c r="C46" s="35">
        <f>1.4*C38+0*C39+0*C40+0*C41+0*C42</f>
        <v/>
      </c>
      <c r="D46" s="35">
        <f>1.4*D38+0*D39+0*D40+0*D41+0*D42</f>
        <v/>
      </c>
      <c r="E46" s="37">
        <f>C46*$C$4^2/8*IF(Input!$C$4="SI",0.000001,7.37562151807618E-07)</f>
        <v/>
      </c>
      <c r="F46" s="37">
        <f>D46*$C$5^2/8*IF(Input!$C$4="SI",0.000001,7.37562151807618E-07)</f>
        <v/>
      </c>
      <c r="G46" s="38">
        <f>ABS(C46)*$C$4/2*IF(Input!$C$4="SI",0.001,0.000224808943870962)</f>
        <v/>
      </c>
      <c r="H46" s="35">
        <f>ABS(E46)/(IF(C46&gt;=0,$D$27,$D$28))</f>
        <v/>
      </c>
      <c r="I46" s="35">
        <f>IF($D$29=0,0,ABS(F46)/$D$29)</f>
        <v/>
      </c>
      <c r="J46" s="35">
        <f>H46+I46</f>
        <v/>
      </c>
      <c r="K46" s="35">
        <f>G46/$D$32</f>
        <v/>
      </c>
    </row>
    <row r="47">
      <c r="B47" s="36" t="inlineStr">
        <is>
          <t>1.25D+1.5S+0.5Lr</t>
        </is>
      </c>
      <c r="C47" s="35">
        <f>1.25*C38+1.5*C39+0.5*C40+0*C41+0*C42</f>
        <v/>
      </c>
      <c r="D47" s="35">
        <f>1.25*D38+1.5*D39+0.5*D40+0*D41+0*D42</f>
        <v/>
      </c>
      <c r="E47" s="37">
        <f>C47*$C$4^2/8*IF(Input!$C$4="SI",0.000001,7.37562151807618E-07)</f>
        <v/>
      </c>
      <c r="F47" s="37">
        <f>D47*$C$5^2/8*IF(Input!$C$4="SI",0.000001,7.37562151807618E-07)</f>
        <v/>
      </c>
      <c r="G47" s="38">
        <f>ABS(C47)*$C$4/2*IF(Input!$C$4="SI",0.001,0.000224808943870962)</f>
        <v/>
      </c>
      <c r="H47" s="35">
        <f>ABS(E47)/(IF(C47&gt;=0,$D$27,$D$28))</f>
        <v/>
      </c>
      <c r="I47" s="35">
        <f>IF($D$29=0,0,ABS(F47)/$D$29)</f>
        <v/>
      </c>
      <c r="J47" s="35">
        <f>H47+I47</f>
        <v/>
      </c>
      <c r="K47" s="35">
        <f>G47/$D$32</f>
        <v/>
      </c>
    </row>
    <row r="48">
      <c r="B48" s="36" t="inlineStr">
        <is>
          <t>1.25D+1.5Lr+0.5S</t>
        </is>
      </c>
      <c r="C48" s="35">
        <f>1.25*C38+0.5*C39+1.5*C40+0*C41+0*C42</f>
        <v/>
      </c>
      <c r="D48" s="35">
        <f>1.25*D38+0.5*D39+1.5*D40+0*D41+0*D42</f>
        <v/>
      </c>
      <c r="E48" s="37">
        <f>C48*$C$4^2/8*IF(Input!$C$4="SI",0.000001,7.37562151807618E-07)</f>
        <v/>
      </c>
      <c r="F48" s="37">
        <f>D48*$C$5^2/8*IF(Input!$C$4="SI",0.000001,7.37562151807618E-07)</f>
        <v/>
      </c>
      <c r="G48" s="38">
        <f>ABS(C48)*$C$4/2*IF(Input!$C$4="SI",0.001,0.000224808943870962)</f>
        <v/>
      </c>
      <c r="H48" s="35">
        <f>ABS(E48)/(IF(C48&gt;=0,$D$27,$D$28))</f>
        <v/>
      </c>
      <c r="I48" s="35">
        <f>IF($D$29=0,0,ABS(F48)/$D$29)</f>
        <v/>
      </c>
      <c r="J48" s="35">
        <f>H48+I48</f>
        <v/>
      </c>
      <c r="K48" s="35">
        <f>G48/$D$32</f>
        <v/>
      </c>
    </row>
    <row r="49">
      <c r="B49" s="36" t="inlineStr">
        <is>
          <t>1.25D+1.4Wp+0.5S</t>
        </is>
      </c>
      <c r="C49" s="35">
        <f>1.25*C38+0.5*C39+0*C40+1.4*C41+0*C42</f>
        <v/>
      </c>
      <c r="D49" s="35">
        <f>1.25*D38+0.5*D39+0*D40+1.4*D41+0*D42</f>
        <v/>
      </c>
      <c r="E49" s="37">
        <f>C49*$C$4^2/8*IF(Input!$C$4="SI",0.000001,7.37562151807618E-07)</f>
        <v/>
      </c>
      <c r="F49" s="37">
        <f>D49*$C$5^2/8*IF(Input!$C$4="SI",0.000001,7.37562151807618E-07)</f>
        <v/>
      </c>
      <c r="G49" s="38">
        <f>ABS(C49)*$C$4/2*IF(Input!$C$4="SI",0.001,0.000224808943870962)</f>
        <v/>
      </c>
      <c r="H49" s="35">
        <f>ABS(E49)/(IF(C49&gt;=0,$D$27,$D$28))</f>
        <v/>
      </c>
      <c r="I49" s="35">
        <f>IF($D$29=0,0,ABS(F49)/$D$29)</f>
        <v/>
      </c>
      <c r="J49" s="35">
        <f>H49+I49</f>
        <v/>
      </c>
      <c r="K49" s="35">
        <f>G49/$D$32</f>
        <v/>
      </c>
    </row>
    <row r="50">
      <c r="B50" s="36" t="inlineStr">
        <is>
          <t>1.25D+1.5S+0.4Wp</t>
        </is>
      </c>
      <c r="C50" s="35">
        <f>1.25*C38+1.5*C39+0*C40+0.4*C41+0*C42</f>
        <v/>
      </c>
      <c r="D50" s="35">
        <f>1.25*D38+1.5*D39+0*D40+0.4*D41+0*D42</f>
        <v/>
      </c>
      <c r="E50" s="37">
        <f>C50*$C$4^2/8*IF(Input!$C$4="SI",0.000001,7.37562151807618E-07)</f>
        <v/>
      </c>
      <c r="F50" s="37">
        <f>D50*$C$5^2/8*IF(Input!$C$4="SI",0.000001,7.37562151807618E-07)</f>
        <v/>
      </c>
      <c r="G50" s="38">
        <f>ABS(C50)*$C$4/2*IF(Input!$C$4="SI",0.001,0.000224808943870962)</f>
        <v/>
      </c>
      <c r="H50" s="35">
        <f>ABS(E50)/(IF(C50&gt;=0,$D$27,$D$28))</f>
        <v/>
      </c>
      <c r="I50" s="35">
        <f>IF($D$29=0,0,ABS(F50)/$D$29)</f>
        <v/>
      </c>
      <c r="J50" s="35">
        <f>H50+I50</f>
        <v/>
      </c>
      <c r="K50" s="35">
        <f>G50/$D$32</f>
        <v/>
      </c>
    </row>
    <row r="51">
      <c r="B51" s="36" t="inlineStr">
        <is>
          <t>1.25D+1.4Wp</t>
        </is>
      </c>
      <c r="C51" s="35">
        <f>1.25*C38+0*C39+0*C40+1.4*C41+0*C42</f>
        <v/>
      </c>
      <c r="D51" s="35">
        <f>1.25*D38+0*D39+0*D40+1.4*D41+0*D42</f>
        <v/>
      </c>
      <c r="E51" s="37">
        <f>C51*$C$4^2/8*IF(Input!$C$4="SI",0.000001,7.37562151807618E-07)</f>
        <v/>
      </c>
      <c r="F51" s="37">
        <f>D51*$C$5^2/8*IF(Input!$C$4="SI",0.000001,7.37562151807618E-07)</f>
        <v/>
      </c>
      <c r="G51" s="38">
        <f>ABS(C51)*$C$4/2*IF(Input!$C$4="SI",0.001,0.000224808943870962)</f>
        <v/>
      </c>
      <c r="H51" s="35">
        <f>ABS(E51)/(IF(C51&gt;=0,$D$27,$D$28))</f>
        <v/>
      </c>
      <c r="I51" s="35">
        <f>IF($D$29=0,0,ABS(F51)/$D$29)</f>
        <v/>
      </c>
      <c r="J51" s="35">
        <f>H51+I51</f>
        <v/>
      </c>
      <c r="K51" s="35">
        <f>G51/$D$32</f>
        <v/>
      </c>
    </row>
    <row r="52">
      <c r="B52" s="36" t="inlineStr">
        <is>
          <t>1.25D+1.4Wu</t>
        </is>
      </c>
      <c r="C52" s="35">
        <f>1.25*C38+0*C39+0*C40+0*C41+1.4*C42</f>
        <v/>
      </c>
      <c r="D52" s="35">
        <f>1.25*D38+0*D39+0*D40+0*D41+1.4*D42</f>
        <v/>
      </c>
      <c r="E52" s="37">
        <f>C52*$C$4^2/8*IF(Input!$C$4="SI",0.000001,7.37562151807618E-07)</f>
        <v/>
      </c>
      <c r="F52" s="37">
        <f>D52*$C$5^2/8*IF(Input!$C$4="SI",0.000001,7.37562151807618E-07)</f>
        <v/>
      </c>
      <c r="G52" s="38">
        <f>ABS(C52)*$C$4/2*IF(Input!$C$4="SI",0.001,0.000224808943870962)</f>
        <v/>
      </c>
      <c r="H52" s="35">
        <f>ABS(E52)/(IF(C52&gt;=0,$D$27,$D$28))</f>
        <v/>
      </c>
      <c r="I52" s="35">
        <f>IF($D$29=0,0,ABS(F52)/$D$29)</f>
        <v/>
      </c>
      <c r="J52" s="35">
        <f>H52+I52</f>
        <v/>
      </c>
      <c r="K52" s="35">
        <f>G52/$D$32</f>
        <v/>
      </c>
    </row>
    <row r="53">
      <c r="B53" s="36" t="inlineStr">
        <is>
          <t>0.9D+1.4Wu (uplift)</t>
        </is>
      </c>
      <c r="C53" s="35">
        <f>0.9*C38+0*C39+0*C40+0*C41+1.4*C42</f>
        <v/>
      </c>
      <c r="D53" s="35">
        <f>0.9*D38+0*D39+0*D40+0*D41+1.4*D42</f>
        <v/>
      </c>
      <c r="E53" s="37">
        <f>C53*$C$4^2/8*IF(Input!$C$4="SI",0.000001,7.37562151807618E-07)</f>
        <v/>
      </c>
      <c r="F53" s="37">
        <f>D53*$C$5^2/8*IF(Input!$C$4="SI",0.000001,7.37562151807618E-07)</f>
        <v/>
      </c>
      <c r="G53" s="38">
        <f>ABS(C53)*$C$4/2*IF(Input!$C$4="SI",0.001,0.000224808943870962)</f>
        <v/>
      </c>
      <c r="H53" s="35">
        <f>ABS(E53)/(IF(C53&gt;=0,$D$27,$D$28))</f>
        <v/>
      </c>
      <c r="I53" s="35">
        <f>IF($D$29=0,0,ABS(F53)/$D$29)</f>
        <v/>
      </c>
      <c r="J53" s="35">
        <f>H53+I53</f>
        <v/>
      </c>
      <c r="K53" s="35">
        <f>G53/$D$32</f>
        <v/>
      </c>
    </row>
    <row r="54">
      <c r="B54" s="36" t="inlineStr">
        <is>
          <t>0.9D+1.4Wp</t>
        </is>
      </c>
      <c r="C54" s="35">
        <f>0.9*C38+0*C39+0*C40+1.4*C41+0*C42</f>
        <v/>
      </c>
      <c r="D54" s="35">
        <f>0.9*D38+0*D39+0*D40+1.4*D41+0*D42</f>
        <v/>
      </c>
      <c r="E54" s="37">
        <f>C54*$C$4^2/8*IF(Input!$C$4="SI",0.000001,7.37562151807618E-07)</f>
        <v/>
      </c>
      <c r="F54" s="37">
        <f>D54*$C$5^2/8*IF(Input!$C$4="SI",0.000001,7.37562151807618E-07)</f>
        <v/>
      </c>
      <c r="G54" s="38">
        <f>ABS(C54)*$C$4/2*IF(Input!$C$4="SI",0.001,0.000224808943870962)</f>
        <v/>
      </c>
      <c r="H54" s="35">
        <f>ABS(E54)/(IF(C54&gt;=0,$D$27,$D$28))</f>
        <v/>
      </c>
      <c r="I54" s="35">
        <f>IF($D$29=0,0,ABS(F54)/$D$29)</f>
        <v/>
      </c>
      <c r="J54" s="35">
        <f>H54+I54</f>
        <v/>
      </c>
      <c r="K54" s="35">
        <f>G54/$D$32</f>
        <v/>
      </c>
    </row>
    <row r="55">
      <c r="B55" s="39" t="inlineStr">
        <is>
          <t>GOVERNING (max utilization)</t>
        </is>
      </c>
      <c r="J55" s="40">
        <f>MAX(H46:H54,I46:I54,J46:J54,K46:K54)</f>
        <v/>
      </c>
      <c r="K55" s="41">
        <f>IF(J55&lt;=1,"PASS","FAIL")</f>
        <v/>
      </c>
    </row>
    <row r="56">
      <c r="B56" s="42" t="inlineStr">
        <is>
          <t>Note: Mfx, Mfy shown in kN·m and Vf in kN when SI is selected (×10⁶/10³ scaling).</t>
        </is>
      </c>
    </row>
    <row r="57">
      <c r="B57" s="42" t="inlineStr">
        <is>
          <t>Utilizations are unitless → valid in both unit systems.</t>
        </is>
      </c>
    </row>
    <row r="59">
      <c r="B59" s="50" t="inlineStr">
        <is>
          <t>6.  Serviceability – deflection  (SLS, specified loads)</t>
        </is>
      </c>
    </row>
    <row r="60">
      <c r="B60" s="34" t="inlineStr">
        <is>
          <t>Case</t>
        </is>
      </c>
      <c r="C60" s="34" t="inlineStr">
        <is>
          <t>δ actual</t>
        </is>
      </c>
      <c r="D60" s="34" t="inlineStr">
        <is>
          <t>δ allow</t>
        </is>
      </c>
      <c r="E60" s="34" t="inlineStr">
        <is>
          <t>Ratio δ/δa</t>
        </is>
      </c>
      <c r="F60" s="34" t="inlineStr">
        <is>
          <t>Status</t>
        </is>
      </c>
    </row>
    <row r="61">
      <c r="B61" s="6" t="inlineStr">
        <is>
          <t>Strong axis – variable (S, Lr or W)</t>
        </is>
      </c>
      <c r="C61" s="43">
        <f>5*MAX(C39,C40,C41,ABS(C42))*(C4)^4/(384*Input!$E$12*Input!$E$34)</f>
        <v/>
      </c>
      <c r="D61" s="43">
        <f>C4/Input!$E$49</f>
        <v/>
      </c>
      <c r="E61" s="44">
        <f>C61/D61</f>
        <v/>
      </c>
      <c r="F61" s="45">
        <f>IF(C61&lt;=D61,"PASS","FAIL")</f>
        <v/>
      </c>
      <c r="G61" s="42" t="inlineStr">
        <is>
          <t>(mm / values shown in mm)</t>
        </is>
      </c>
    </row>
    <row r="62">
      <c r="B62" s="6" t="inlineStr">
        <is>
          <t>Strong axis – total (D+var, incl. wind/uplift)</t>
        </is>
      </c>
      <c r="C62" s="43">
        <f>5*MAX(ABS(C38+MAX(C39,C40,C41)),ABS(C38+C42))*(C4)^4/(384*Input!$E$12*Input!$E$34)</f>
        <v/>
      </c>
      <c r="D62" s="43">
        <f>C4/Input!$E$50</f>
        <v/>
      </c>
      <c r="E62" s="44">
        <f>C62/D62</f>
        <v/>
      </c>
      <c r="F62" s="45">
        <f>IF(C62&lt;=D62,"PASS","FAIL")</f>
        <v/>
      </c>
      <c r="G62" s="42" t="inlineStr">
        <is>
          <t>(mm / values shown in mm)</t>
        </is>
      </c>
    </row>
    <row r="63">
      <c r="B63" s="6" t="inlineStr">
        <is>
          <t>Weak axis – variable (sag span)</t>
        </is>
      </c>
      <c r="C63" s="43">
        <f>5*ABS(MAX(D39,D40))*(C5)^4/(384*Input!$E$12*Input!$E$35)</f>
        <v/>
      </c>
      <c r="D63" s="43">
        <f>C5/Input!$E$49</f>
        <v/>
      </c>
      <c r="E63" s="44">
        <f>C63/D63</f>
        <v/>
      </c>
      <c r="F63" s="45">
        <f>IF(C63&lt;=D63,"PASS","FAIL")</f>
        <v/>
      </c>
      <c r="G63" s="42" t="inlineStr">
        <is>
          <t>(mm / values shown in mm)</t>
        </is>
      </c>
    </row>
    <row r="64">
      <c r="B64" s="39" t="inlineStr">
        <is>
          <t>SLS governing ratio</t>
        </is>
      </c>
      <c r="E64" s="40">
        <f>MAX(E61,E62,E63)</f>
        <v/>
      </c>
      <c r="F64" s="41">
        <f>IF(E64&lt;=1,"PASS","FAIL")</f>
        <v/>
      </c>
    </row>
    <row r="66">
      <c r="B66" s="50" t="inlineStr">
        <is>
          <t>7.  Member verdict</t>
        </is>
      </c>
    </row>
    <row r="67">
      <c r="B67" s="10" t="inlineStr">
        <is>
          <t>Governing ULS utilization</t>
        </is>
      </c>
      <c r="C67" s="46">
        <f>J55</f>
        <v/>
      </c>
      <c r="D67" s="18">
        <f>K55</f>
        <v/>
      </c>
    </row>
    <row r="68">
      <c r="B68" s="10" t="inlineStr">
        <is>
          <t>Governing SLS ratio</t>
        </is>
      </c>
      <c r="C68" s="46">
        <f>E64</f>
        <v/>
      </c>
      <c r="D68" s="18">
        <f>F64</f>
        <v/>
      </c>
    </row>
    <row r="69">
      <c r="B69" s="10" t="inlineStr">
        <is>
          <t>Section class ≤ 3 ?</t>
        </is>
      </c>
      <c r="D69" s="18">
        <f>IF(C16&lt;=3,"OK","CLASS 4 – review")</f>
        <v/>
      </c>
    </row>
    <row r="70" ht="15.75" customHeight="1">
      <c r="B70" s="47" t="inlineStr">
        <is>
          <t>OVERALL</t>
        </is>
      </c>
      <c r="C70" s="15">
        <f>IF(AND(K55="PASS",F64="PASS",C16&lt;=3,G72&lt;=1),"PASS","REVIEW")</f>
        <v/>
      </c>
    </row>
    <row r="72">
      <c r="B72" s="9" t="inlineStr">
        <is>
          <t xml:space="preserve">Optional axial+bending (Cl.13.8.4) if Cf&gt;0: Cf/Cr + (Ux+Uy) = </t>
        </is>
      </c>
      <c r="G72" s="48">
        <f>IF(Input!$E$52&gt;0,Input!$E$52/C33+MAX(J46:J54),0)</f>
        <v/>
      </c>
    </row>
    <row r="73">
      <c r="B73" s="42" t="inlineStr">
        <is>
          <t>(conservative: uses governing Ux+Uy with U1=1.0)</t>
        </is>
      </c>
    </row>
  </sheetData>
  <mergeCells count="8">
    <mergeCell ref="B44:F44"/>
    <mergeCell ref="B3:F3"/>
    <mergeCell ref="B19:F19"/>
    <mergeCell ref="B66:F66"/>
    <mergeCell ref="B59:F59"/>
    <mergeCell ref="B1:F1"/>
    <mergeCell ref="B9:F9"/>
    <mergeCell ref="B35:F35"/>
  </mergeCells>
  <pageMargins left="0.4" right="0.4" top="0.5" bottom="0.5" header="0.511811023622047" footer="0.5"/>
  <pageSetup orientation="landscape" fitToHeight="0" horizontalDpi="300" verticalDpi="300"/>
  <headerFooter>
    <oddHeader/>
    <oddFooter>&amp;C&amp;8 CSA S16-19 Purlin Girt Design  |  &amp;A  |  Page &amp;P of &amp;N</oddFooter>
    <evenHeader/>
    <evenFooter/>
    <firstHeader/>
    <firstFooter/>
  </headerFooter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B1:K72"/>
  <sheetViews>
    <sheetView showGridLines="0" tabSelected="1" zoomScale="170" zoomScaleNormal="170" workbookViewId="0">
      <pane ySplit="1" topLeftCell="A2" activePane="bottomLeft" state="frozen"/>
      <selection pane="bottomLeft" activeCell="F40" sqref="F40"/>
    </sheetView>
  </sheetViews>
  <sheetFormatPr baseColWidth="8" defaultColWidth="8.7109375" defaultRowHeight="15"/>
  <cols>
    <col width="3" customWidth="1" min="1" max="1"/>
    <col width="42" customWidth="1" min="2" max="2"/>
    <col width="16" customWidth="1" min="3" max="3"/>
    <col width="14" customWidth="1" min="4" max="4"/>
    <col width="10" customWidth="1" min="5" max="5"/>
    <col width="20" customWidth="1" min="6" max="6"/>
    <col width="11" customWidth="1" min="7" max="11"/>
  </cols>
  <sheetData>
    <row r="1" ht="19.5" customHeight="1">
      <c r="B1" s="51" t="inlineStr">
        <is>
          <t>CSA S16-19  —  GIRT DESIGN CHECKS</t>
        </is>
      </c>
    </row>
    <row r="3">
      <c r="B3" s="50" t="inlineStr">
        <is>
          <t>1.  Derived geometry</t>
        </is>
      </c>
    </row>
    <row r="4">
      <c r="B4" s="6" t="inlineStr">
        <is>
          <t>Span, L</t>
        </is>
      </c>
      <c r="C4" s="24">
        <f>Input!$E$56</f>
        <v/>
      </c>
      <c r="D4" s="25">
        <f>C4*IF(Input!$C$4="SI",0.001,0.00328083989501312)</f>
        <v/>
      </c>
      <c r="E4" s="21">
        <f>IF(Input!$C$4="SI","m","ft")</f>
        <v/>
      </c>
    </row>
    <row r="5">
      <c r="B5" s="6" t="inlineStr">
        <is>
          <t>Weak-axis span between sag rods, Ly</t>
        </is>
      </c>
      <c r="C5" s="24">
        <f>Input!$E$56/(Input!$E$58+1)</f>
        <v/>
      </c>
      <c r="D5" s="25">
        <f>C5*IF(Input!$C$4="SI",0.001,0.00328083989501312)</f>
        <v/>
      </c>
      <c r="E5" s="21">
        <f>IF(Input!$C$4="SI","m","ft")</f>
        <v/>
      </c>
      <c r="F5" s="26" t="inlineStr">
        <is>
          <t>L/(n+1)</t>
        </is>
      </c>
    </row>
    <row r="6">
      <c r="B6" s="6" t="inlineStr">
        <is>
          <t>Radius of gyration rx</t>
        </is>
      </c>
      <c r="C6" s="24">
        <f>SQRT(Input!$E$71/Input!$E$70)</f>
        <v/>
      </c>
      <c r="D6" s="25">
        <f>C6*IF(Input!$C$4="SI",1,0.0393700787401575)</f>
        <v/>
      </c>
      <c r="E6" s="21">
        <f>IF(Input!$C$4="SI","mm","in")</f>
        <v/>
      </c>
    </row>
    <row r="7">
      <c r="B7" s="6" t="inlineStr">
        <is>
          <t>Radius of gyration ry</t>
        </is>
      </c>
      <c r="C7" s="24">
        <f>SQRT(Input!$E$72/Input!$E$70)</f>
        <v/>
      </c>
      <c r="D7" s="25">
        <f>C7*IF(Input!$C$4="SI",1,0.0393700787401575)</f>
        <v/>
      </c>
      <c r="E7" s="21">
        <f>IF(Input!$C$4="SI","mm","in")</f>
        <v/>
      </c>
    </row>
    <row r="9">
      <c r="B9" s="50" t="inlineStr">
        <is>
          <t>2.  Section classification  (Cl. 11, Table 1)</t>
        </is>
      </c>
    </row>
    <row r="10">
      <c r="B10" s="6" t="inlineStr">
        <is>
          <t>Flange element width, bel</t>
        </is>
      </c>
      <c r="C10" s="27">
        <f>IF(Input!$E$65="W",Input!$E$67/2,IF(Input!$E$65="C",Input!$E$67,Input!$E$67-4*Input!$E$69))</f>
        <v/>
      </c>
      <c r="F10" s="26" t="inlineStr">
        <is>
          <t>Cl.11.3</t>
        </is>
      </c>
    </row>
    <row r="11">
      <c r="B11" s="6" t="inlineStr">
        <is>
          <t>Web element height, h</t>
        </is>
      </c>
      <c r="C11" s="27">
        <f>IF(Input!$E$65="HSS",Input!$E$66-4*Input!$E$69,Input!$E$66-2*Input!$E$68)</f>
        <v/>
      </c>
      <c r="F11" s="26" t="inlineStr">
        <is>
          <t>Cl.11.3</t>
        </is>
      </c>
    </row>
    <row r="12">
      <c r="B12" s="6" t="inlineStr">
        <is>
          <t>Flange b/t</t>
        </is>
      </c>
      <c r="C12" s="25">
        <f>C10/Input!$E$68</f>
        <v/>
      </c>
    </row>
    <row r="13">
      <c r="B13" s="6" t="inlineStr">
        <is>
          <t>Web h/w</t>
        </is>
      </c>
      <c r="C13" s="25">
        <f>C11/Input!$E$69</f>
        <v/>
      </c>
    </row>
    <row r="14">
      <c r="B14" s="6" t="inlineStr">
        <is>
          <t>Flange class</t>
        </is>
      </c>
      <c r="C14" s="12">
        <f>IF(C12&lt;=IF(Input!$E$65="HSS",420,145)/SQRT(Input!$E$10),1,IF(C12&lt;=IF(Input!$E$65="HSS",525,170)/SQRT(Input!$E$10),2,IF(C12&lt;=IF(Input!$E$65="HSS",670,200)/SQRT(Input!$E$10),3,4)))</f>
        <v/>
      </c>
      <c r="F14" s="26" t="inlineStr">
        <is>
          <t>Table 1</t>
        </is>
      </c>
    </row>
    <row r="15">
      <c r="B15" s="6" t="inlineStr">
        <is>
          <t>Web class (pure flexure)</t>
        </is>
      </c>
      <c r="C15" s="12">
        <f>IF(C13&lt;=1100/SQRT(Input!$E$10),1,IF(C13&lt;=1700/SQRT(Input!$E$10),2,IF(C13&lt;=1900/SQRT(Input!$E$10),3,4)))</f>
        <v/>
      </c>
      <c r="F15" s="26" t="inlineStr">
        <is>
          <t>Table 1</t>
        </is>
      </c>
    </row>
    <row r="16">
      <c r="B16" s="10" t="inlineStr">
        <is>
          <t>Governing class</t>
        </is>
      </c>
      <c r="C16" s="28">
        <f>MAX(C14,C15)</f>
        <v/>
      </c>
      <c r="F16" s="26" t="inlineStr">
        <is>
          <t>Cl.11.1</t>
        </is>
      </c>
    </row>
    <row r="17">
      <c r="B17" s="17" t="inlineStr">
        <is>
          <t>→ Class 4 requires CSA S136 / effective section</t>
        </is>
      </c>
    </row>
    <row r="19">
      <c r="B19" s="50" t="inlineStr">
        <is>
          <t>3.  Member resistances  (φ = 0.90, Cl. 13.1)</t>
        </is>
      </c>
    </row>
    <row r="20">
      <c r="B20" s="6" t="inlineStr">
        <is>
          <t>Plastic moment Mp = Zx·Fy</t>
        </is>
      </c>
      <c r="C20" s="24">
        <f>Input!$E$75*Input!$E$10</f>
        <v/>
      </c>
      <c r="D20" s="25">
        <f>C20*IF(Input!$C$4="SI",0.000001,7.37562151807618E-07)</f>
        <v/>
      </c>
      <c r="E20" s="21">
        <f>IF(Input!$C$4="SI","kN·m","kip·ft")</f>
        <v/>
      </c>
    </row>
    <row r="21">
      <c r="B21" s="6" t="inlineStr">
        <is>
          <t>Yield moment My = Sx·Fy</t>
        </is>
      </c>
      <c r="C21" s="24">
        <f>Input!$E$73*Input!$E$10</f>
        <v/>
      </c>
      <c r="D21" s="25">
        <f>C21*IF(Input!$C$4="SI",0.000001,7.37562151807618E-07)</f>
        <v/>
      </c>
      <c r="E21" s="21">
        <f>IF(Input!$C$4="SI","kN·m","kip·ft")</f>
        <v/>
      </c>
    </row>
    <row r="22">
      <c r="B22" s="6" t="inlineStr">
        <is>
          <t>Mrx – laterally supported</t>
        </is>
      </c>
      <c r="C22" s="24">
        <f>IF(C16&lt;=2,0.9*Input!$E$75*Input!$E$10,IF(C16=3,0.9*Input!$E$73*Input!$E$10,0.9*Input!$E$73*Input!$E$10))</f>
        <v/>
      </c>
      <c r="D22" s="25">
        <f>C22*IF(Input!$C$4="SI",0.000001,7.37562151807618E-07)</f>
        <v/>
      </c>
      <c r="E22" s="21">
        <f>IF(Input!$C$4="SI","kN·m","kip·ft")</f>
        <v/>
      </c>
      <c r="F22" s="26" t="inlineStr">
        <is>
          <t>Cl.13.5(a)/(b)</t>
        </is>
      </c>
    </row>
    <row r="23">
      <c r="B23" s="6" t="inlineStr">
        <is>
          <t>Mu (critical elastic) at Lu(+)</t>
        </is>
      </c>
      <c r="C23" s="24">
        <f>IF(Input!$E$60&gt;0,(Input!$E$63*PI()/Input!$E$60)*SQRT(Input!$E$12*Input!$E$72*Input!$E$13*Input!$E$77+(PI()*Input!$E$12/Input!$E$60)^2*Input!$E$72*Input!$E$78),1E+30)</f>
        <v/>
      </c>
      <c r="D23" s="25">
        <f>C23*IF(Input!$C$4="SI",0.000001,7.37562151807618E-07)</f>
        <v/>
      </c>
      <c r="E23" s="21">
        <f>IF(Input!$C$4="SI","kN·m","kip·ft")</f>
        <v/>
      </c>
      <c r="F23" s="26" t="inlineStr">
        <is>
          <t>Cl.13.6.1(a)</t>
        </is>
      </c>
    </row>
    <row r="24">
      <c r="B24" s="6" t="inlineStr">
        <is>
          <t>Mu (critical elastic) at Lu(–)</t>
        </is>
      </c>
      <c r="C24" s="24">
        <f>IF(Input!$E$62&gt;0,(Input!$E$63*PI()/Input!$E$62)*SQRT(Input!$E$12*Input!$E$72*Input!$E$13*Input!$E$77+(PI()*Input!$E$12/Input!$E$62)^2*Input!$E$72*Input!$E$78),1E+30)</f>
        <v/>
      </c>
      <c r="D24" s="25">
        <f>C24*IF(Input!$C$4="SI",0.000001,7.37562151807618E-07)</f>
        <v/>
      </c>
      <c r="E24" s="21">
        <f>IF(Input!$C$4="SI","kN·m","kip·ft")</f>
        <v/>
      </c>
      <c r="F24" s="26" t="inlineStr">
        <is>
          <t>Cl.13.6.1(a)</t>
        </is>
      </c>
    </row>
    <row r="25">
      <c r="B25" s="6" t="inlineStr">
        <is>
          <t>Mrx – LTB at Lu(+)</t>
        </is>
      </c>
      <c r="C25" s="24">
        <f>IF(C23&gt;0.67*IF(C16&lt;=2,C20,C21),MIN(1.15*0.9*IF(C16&lt;=2,C20,C21)*(1-0.28*IF(C16&lt;=2,C20,C21)/C23),0.9*IF(C16&lt;=2,C20,C21)),0.9*C23)</f>
        <v/>
      </c>
      <c r="D25" s="25">
        <f>C25*IF(Input!$C$4="SI",0.000001,7.37562151807618E-07)</f>
        <v/>
      </c>
      <c r="E25" s="21">
        <f>IF(Input!$C$4="SI","kN·m","kip·ft")</f>
        <v/>
      </c>
      <c r="F25" s="26" t="inlineStr">
        <is>
          <t>Cl.13.6.1(a)</t>
        </is>
      </c>
    </row>
    <row r="26">
      <c r="B26" s="6" t="inlineStr">
        <is>
          <t>Mrx – LTB at Lu(–)</t>
        </is>
      </c>
      <c r="C26" s="24">
        <f>IF(C24&gt;0.67*IF(C16&lt;=2,C20,C21),MIN(1.15*0.9*IF(C16&lt;=2,C20,C21)*(1-0.28*IF(C16&lt;=2,C20,C21)/C24),0.9*IF(C16&lt;=2,C20,C21)),0.9*C24)</f>
        <v/>
      </c>
      <c r="D26" s="25">
        <f>C26*IF(Input!$C$4="SI",0.000001,7.37562151807618E-07)</f>
        <v/>
      </c>
      <c r="E26" s="21">
        <f>IF(Input!$C$4="SI","kN·m","kip·ft")</f>
        <v/>
      </c>
      <c r="F26" s="26" t="inlineStr">
        <is>
          <t>Cl.13.6.1(a)</t>
        </is>
      </c>
    </row>
    <row r="27">
      <c r="B27" s="29" t="inlineStr">
        <is>
          <t>Mrx used, load +ve</t>
        </is>
      </c>
      <c r="C27" s="30">
        <f>IF(Input!$E$59="Yes",C22,C25)</f>
        <v/>
      </c>
      <c r="D27" s="31">
        <f>C27*IF(Input!$C$4="SI",0.000001,7.37562151807618E-07)</f>
        <v/>
      </c>
      <c r="E27" s="32">
        <f>IF(Input!$C$4="SI","kN·m","kip·ft")</f>
        <v/>
      </c>
      <c r="F27" s="26" t="inlineStr">
        <is>
          <t>Cl.13.5/13.6</t>
        </is>
      </c>
    </row>
    <row r="28">
      <c r="B28" s="29" t="inlineStr">
        <is>
          <t>Mrx used, load –ve</t>
        </is>
      </c>
      <c r="C28" s="30">
        <f>IF(Input!$E$61="Yes",C22,C26)</f>
        <v/>
      </c>
      <c r="D28" s="31">
        <f>C28*IF(Input!$C$4="SI",0.000001,7.37562151807618E-07)</f>
        <v/>
      </c>
      <c r="E28" s="32">
        <f>IF(Input!$C$4="SI","kN·m","kip·ft")</f>
        <v/>
      </c>
      <c r="F28" s="26" t="inlineStr">
        <is>
          <t>Cl.13.5/13.6</t>
        </is>
      </c>
    </row>
    <row r="29">
      <c r="B29" s="29" t="inlineStr">
        <is>
          <t>Mry (weak axis)</t>
        </is>
      </c>
      <c r="C29" s="30">
        <f>IF(C16&lt;=2,0.9*Input!$E$76*Input!$E$10,0.9*Input!$E$74*Input!$E$10)</f>
        <v/>
      </c>
      <c r="D29" s="31">
        <f>C29*IF(Input!$C$4="SI",0.000001,7.37562151807618E-07)</f>
        <v/>
      </c>
      <c r="E29" s="32">
        <f>IF(Input!$C$4="SI","kN·m","kip·ft")</f>
        <v/>
      </c>
      <c r="F29" s="26" t="inlineStr">
        <is>
          <t>Cl.13.5(a)/(b)</t>
        </is>
      </c>
    </row>
    <row r="30">
      <c r="B30" s="6" t="inlineStr">
        <is>
          <t>Shear area Aw</t>
        </is>
      </c>
      <c r="C30" s="33">
        <f>IF(Input!$E$65="HSS",2*(Input!$E$66-4*Input!$E$69)*Input!$E$69,Input!$E$66*Input!$E$69)</f>
        <v/>
      </c>
      <c r="F30" s="26" t="inlineStr">
        <is>
          <t>Cl.13.4.1</t>
        </is>
      </c>
    </row>
    <row r="31" ht="24" customHeight="1">
      <c r="B31" s="6" t="inlineStr">
        <is>
          <t>Shear stress Fs</t>
        </is>
      </c>
      <c r="C31" s="27">
        <f>IF(C13&lt;=1014*SQRT(5.34/Input!$E$10),0.66*Input!$E$10,IF(C13&lt;=1435*SQRT(5.34/Input!$E$10),670*SQRT(5.34*Input!$E$10)/C13,961200*5.34/C13^2))</f>
        <v/>
      </c>
      <c r="F31" s="26" t="inlineStr">
        <is>
          <t>Cl.13.4.1.1 (kv = 5.34, unstiffened web)</t>
        </is>
      </c>
    </row>
    <row r="32">
      <c r="B32" s="29" t="inlineStr">
        <is>
          <t>Vr = φ·Aw·Fs</t>
        </is>
      </c>
      <c r="C32" s="30">
        <f>0.9*C30*C31</f>
        <v/>
      </c>
      <c r="D32" s="31">
        <f>C32*IF(Input!$C$4="SI",0.001,0.000224808943870962)</f>
        <v/>
      </c>
      <c r="E32" s="32">
        <f>IF(Input!$C$4="SI","kN","kips")</f>
        <v/>
      </c>
      <c r="F32" s="26" t="inlineStr">
        <is>
          <t>Cl.13.4.1</t>
        </is>
      </c>
    </row>
    <row r="33">
      <c r="B33" s="6" t="inlineStr">
        <is>
          <t>Cr (axial, weak-axis buckl.) – opt.</t>
        </is>
      </c>
      <c r="C33" s="24">
        <f>0.9*Input!$E$70*Input!$E$10*(1+(SQRT(Input!$E$10/(PI()^2*Input!$E$12/(MAX(Input!$E$56/C6,C5/C7))^2)))^(2*1.34))^(-1/1.34)</f>
        <v/>
      </c>
      <c r="D33" s="25">
        <f>C33*IF(Input!$C$4="SI",0.001,0.000224808943870962)</f>
        <v/>
      </c>
      <c r="E33" s="21">
        <f>IF(Input!$C$4="SI","kN","kips")</f>
        <v/>
      </c>
      <c r="F33" s="26" t="inlineStr">
        <is>
          <t>Cl.13.3.1</t>
        </is>
      </c>
    </row>
    <row r="35">
      <c r="B35" s="50" t="inlineStr">
        <is>
          <t>4.  Unfactored line loads  (strong wx, weak wy) [N/mm]</t>
        </is>
      </c>
    </row>
    <row r="36">
      <c r="B36" s="16" t="inlineStr">
        <is>
          <t>Auto self-weight included in D</t>
        </is>
      </c>
    </row>
    <row r="37">
      <c r="B37" s="34" t="inlineStr">
        <is>
          <t>Load</t>
        </is>
      </c>
      <c r="C37" s="34" t="inlineStr">
        <is>
          <t>wx (N/mm)</t>
        </is>
      </c>
      <c r="D37" s="34" t="inlineStr">
        <is>
          <t>wy (N/mm)</t>
        </is>
      </c>
    </row>
    <row r="38">
      <c r="B38" s="6" t="inlineStr">
        <is>
          <t>D</t>
        </is>
      </c>
      <c r="C38" s="35">
        <f>0</f>
        <v/>
      </c>
      <c r="D38" s="35">
        <f>(Input!$E$82*Input!$E$57+Input!$E$70*Input!$E$14*0.000001)</f>
        <v/>
      </c>
    </row>
    <row r="39">
      <c r="B39" s="6" t="inlineStr">
        <is>
          <t>S</t>
        </is>
      </c>
      <c r="C39" s="35">
        <f>0</f>
        <v/>
      </c>
      <c r="D39" s="35">
        <f>0</f>
        <v/>
      </c>
    </row>
    <row r="40">
      <c r="B40" s="6" t="inlineStr">
        <is>
          <t>Lr</t>
        </is>
      </c>
      <c r="C40" s="35">
        <f>0</f>
        <v/>
      </c>
      <c r="D40" s="35">
        <f>0</f>
        <v/>
      </c>
    </row>
    <row r="41">
      <c r="B41" s="6" t="inlineStr">
        <is>
          <t>Wp</t>
        </is>
      </c>
      <c r="C41" s="35">
        <f>Input!$E$80*Input!$E$57</f>
        <v/>
      </c>
      <c r="D41" s="35">
        <f>0</f>
        <v/>
      </c>
    </row>
    <row r="42">
      <c r="B42" s="6" t="inlineStr">
        <is>
          <t>Wu</t>
        </is>
      </c>
      <c r="C42" s="35">
        <f>-Input!$E$81*Input!$E$57</f>
        <v/>
      </c>
      <c r="D42" s="35">
        <f>0</f>
        <v/>
      </c>
    </row>
    <row r="44">
      <c r="B44" s="50" t="inlineStr">
        <is>
          <t>5.  ULS load combinations  (NBCC 2020)  →  utilizations</t>
        </is>
      </c>
    </row>
    <row r="45">
      <c r="B45" s="34" t="inlineStr">
        <is>
          <t>Combination</t>
        </is>
      </c>
      <c r="C45" s="34" t="inlineStr">
        <is>
          <t>wx [N/mm]</t>
        </is>
      </c>
      <c r="D45" s="34" t="inlineStr">
        <is>
          <t>wy [N/mm]</t>
        </is>
      </c>
      <c r="E45" s="34">
        <f>IF(Input!$C$4="SI","Mfx [kN·m]","Mfx [kip·ft]")</f>
        <v/>
      </c>
      <c r="F45" s="34">
        <f>IF(Input!$C$4="SI","Mfy [kN·m]","Mfy [kip·ft]")</f>
        <v/>
      </c>
      <c r="G45" s="34">
        <f>IF(Input!$C$4="SI","Vf [kN]","Vf [kips]")</f>
        <v/>
      </c>
      <c r="H45" s="34" t="inlineStr">
        <is>
          <t>Ux</t>
        </is>
      </c>
      <c r="I45" s="34" t="inlineStr">
        <is>
          <t>Uy</t>
        </is>
      </c>
      <c r="J45" s="34" t="inlineStr">
        <is>
          <t>Ux+Uy</t>
        </is>
      </c>
      <c r="K45" s="34" t="inlineStr">
        <is>
          <t>Vf/Vr</t>
        </is>
      </c>
    </row>
    <row r="46">
      <c r="B46" s="36" t="inlineStr">
        <is>
          <t>1.4D</t>
        </is>
      </c>
      <c r="C46" s="35">
        <f>1.4*C38+0*C39+0*C40+0*C41+0*C42</f>
        <v/>
      </c>
      <c r="D46" s="35">
        <f>1.4*D38+0*D39+0*D40+0*D41+0*D42</f>
        <v/>
      </c>
      <c r="E46" s="37">
        <f>C46*$C$4^2/8*IF(Input!$C$4="SI",0.000001,7.37562151807618E-07)</f>
        <v/>
      </c>
      <c r="F46" s="37">
        <f>D46*$C$5^2/8*IF(Input!$C$4="SI",0.000001,7.37562151807618E-07)</f>
        <v/>
      </c>
      <c r="G46" s="38">
        <f>ABS(C46)*$C$4/2*IF(Input!$C$4="SI",0.001,0.000224808943870962)</f>
        <v/>
      </c>
      <c r="H46" s="35">
        <f>ABS(E46)/(IF(C46&gt;=0,$D$27,$D$28))</f>
        <v/>
      </c>
      <c r="I46" s="35">
        <f>IF($D$29=0,0,ABS(F46)/$D$29)</f>
        <v/>
      </c>
      <c r="J46" s="35">
        <f>H46+I46</f>
        <v/>
      </c>
      <c r="K46" s="35">
        <f>G46/$D$32</f>
        <v/>
      </c>
    </row>
    <row r="47">
      <c r="B47" s="36" t="inlineStr">
        <is>
          <t>1.25D+1.5S+0.5Lr</t>
        </is>
      </c>
      <c r="C47" s="35">
        <f>1.25*C38+1.5*C39+0.5*C40+0*C41+0*C42</f>
        <v/>
      </c>
      <c r="D47" s="35">
        <f>1.25*D38+1.5*D39+0.5*D40+0*D41+0*D42</f>
        <v/>
      </c>
      <c r="E47" s="37">
        <f>C47*$C$4^2/8*IF(Input!$C$4="SI",0.000001,7.37562151807618E-07)</f>
        <v/>
      </c>
      <c r="F47" s="37">
        <f>D47*$C$5^2/8*IF(Input!$C$4="SI",0.000001,7.37562151807618E-07)</f>
        <v/>
      </c>
      <c r="G47" s="38">
        <f>ABS(C47)*$C$4/2*IF(Input!$C$4="SI",0.001,0.000224808943870962)</f>
        <v/>
      </c>
      <c r="H47" s="35">
        <f>ABS(E47)/(IF(C47&gt;=0,$D$27,$D$28))</f>
        <v/>
      </c>
      <c r="I47" s="35">
        <f>IF($D$29=0,0,ABS(F47)/$D$29)</f>
        <v/>
      </c>
      <c r="J47" s="35">
        <f>H47+I47</f>
        <v/>
      </c>
      <c r="K47" s="35">
        <f>G47/$D$32</f>
        <v/>
      </c>
    </row>
    <row r="48">
      <c r="B48" s="36" t="inlineStr">
        <is>
          <t>1.25D+1.5Lr+0.5S</t>
        </is>
      </c>
      <c r="C48" s="35">
        <f>1.25*C38+0.5*C39+1.5*C40+0*C41+0*C42</f>
        <v/>
      </c>
      <c r="D48" s="35">
        <f>1.25*D38+0.5*D39+1.5*D40+0*D41+0*D42</f>
        <v/>
      </c>
      <c r="E48" s="37">
        <f>C48*$C$4^2/8*IF(Input!$C$4="SI",0.000001,7.37562151807618E-07)</f>
        <v/>
      </c>
      <c r="F48" s="37">
        <f>D48*$C$5^2/8*IF(Input!$C$4="SI",0.000001,7.37562151807618E-07)</f>
        <v/>
      </c>
      <c r="G48" s="38">
        <f>ABS(C48)*$C$4/2*IF(Input!$C$4="SI",0.001,0.000224808943870962)</f>
        <v/>
      </c>
      <c r="H48" s="35">
        <f>ABS(E48)/(IF(C48&gt;=0,$D$27,$D$28))</f>
        <v/>
      </c>
      <c r="I48" s="35">
        <f>IF($D$29=0,0,ABS(F48)/$D$29)</f>
        <v/>
      </c>
      <c r="J48" s="35">
        <f>H48+I48</f>
        <v/>
      </c>
      <c r="K48" s="35">
        <f>G48/$D$32</f>
        <v/>
      </c>
    </row>
    <row r="49">
      <c r="B49" s="36" t="inlineStr">
        <is>
          <t>1.25D+1.4Wp+0.5S</t>
        </is>
      </c>
      <c r="C49" s="35">
        <f>1.25*C38+0.5*C39+0*C40+1.4*C41+0*C42</f>
        <v/>
      </c>
      <c r="D49" s="35">
        <f>1.25*D38+0.5*D39+0*D40+1.4*D41+0*D42</f>
        <v/>
      </c>
      <c r="E49" s="37">
        <f>C49*$C$4^2/8*IF(Input!$C$4="SI",0.000001,7.37562151807618E-07)</f>
        <v/>
      </c>
      <c r="F49" s="37">
        <f>D49*$C$5^2/8*IF(Input!$C$4="SI",0.000001,7.37562151807618E-07)</f>
        <v/>
      </c>
      <c r="G49" s="38">
        <f>ABS(C49)*$C$4/2*IF(Input!$C$4="SI",0.001,0.000224808943870962)</f>
        <v/>
      </c>
      <c r="H49" s="35">
        <f>ABS(E49)/(IF(C49&gt;=0,$D$27,$D$28))</f>
        <v/>
      </c>
      <c r="I49" s="35">
        <f>IF($D$29=0,0,ABS(F49)/$D$29)</f>
        <v/>
      </c>
      <c r="J49" s="35">
        <f>H49+I49</f>
        <v/>
      </c>
      <c r="K49" s="35">
        <f>G49/$D$32</f>
        <v/>
      </c>
    </row>
    <row r="50">
      <c r="B50" s="36" t="inlineStr">
        <is>
          <t>1.25D+1.5S+0.4Wp</t>
        </is>
      </c>
      <c r="C50" s="35">
        <f>1.25*C38+1.5*C39+0*C40+0.4*C41+0*C42</f>
        <v/>
      </c>
      <c r="D50" s="35">
        <f>1.25*D38+1.5*D39+0*D40+0.4*D41+0*D42</f>
        <v/>
      </c>
      <c r="E50" s="37">
        <f>C50*$C$4^2/8*IF(Input!$C$4="SI",0.000001,7.37562151807618E-07)</f>
        <v/>
      </c>
      <c r="F50" s="37">
        <f>D50*$C$5^2/8*IF(Input!$C$4="SI",0.000001,7.37562151807618E-07)</f>
        <v/>
      </c>
      <c r="G50" s="38">
        <f>ABS(C50)*$C$4/2*IF(Input!$C$4="SI",0.001,0.000224808943870962)</f>
        <v/>
      </c>
      <c r="H50" s="35">
        <f>ABS(E50)/(IF(C50&gt;=0,$D$27,$D$28))</f>
        <v/>
      </c>
      <c r="I50" s="35">
        <f>IF($D$29=0,0,ABS(F50)/$D$29)</f>
        <v/>
      </c>
      <c r="J50" s="35">
        <f>H50+I50</f>
        <v/>
      </c>
      <c r="K50" s="35">
        <f>G50/$D$32</f>
        <v/>
      </c>
    </row>
    <row r="51">
      <c r="B51" s="36" t="inlineStr">
        <is>
          <t>1.25D+1.4Wp</t>
        </is>
      </c>
      <c r="C51" s="35">
        <f>1.25*C38+0*C39+0*C40+1.4*C41+0*C42</f>
        <v/>
      </c>
      <c r="D51" s="35">
        <f>1.25*D38+0*D39+0*D40+1.4*D41+0*D42</f>
        <v/>
      </c>
      <c r="E51" s="37">
        <f>C51*$C$4^2/8*IF(Input!$C$4="SI",0.000001,7.37562151807618E-07)</f>
        <v/>
      </c>
      <c r="F51" s="37">
        <f>D51*$C$5^2/8*IF(Input!$C$4="SI",0.000001,7.37562151807618E-07)</f>
        <v/>
      </c>
      <c r="G51" s="38">
        <f>ABS(C51)*$C$4/2*IF(Input!$C$4="SI",0.001,0.000224808943870962)</f>
        <v/>
      </c>
      <c r="H51" s="35">
        <f>ABS(E51)/(IF(C51&gt;=0,$D$27,$D$28))</f>
        <v/>
      </c>
      <c r="I51" s="35">
        <f>IF($D$29=0,0,ABS(F51)/$D$29)</f>
        <v/>
      </c>
      <c r="J51" s="35">
        <f>H51+I51</f>
        <v/>
      </c>
      <c r="K51" s="35">
        <f>G51/$D$32</f>
        <v/>
      </c>
    </row>
    <row r="52">
      <c r="B52" s="36" t="inlineStr">
        <is>
          <t>1.25D+1.4Wu</t>
        </is>
      </c>
      <c r="C52" s="35">
        <f>1.25*C38+0*C39+0*C40+0*C41+1.4*C42</f>
        <v/>
      </c>
      <c r="D52" s="35">
        <f>1.25*D38+0*D39+0*D40+0*D41+1.4*D42</f>
        <v/>
      </c>
      <c r="E52" s="37">
        <f>C52*$C$4^2/8*IF(Input!$C$4="SI",0.000001,7.37562151807618E-07)</f>
        <v/>
      </c>
      <c r="F52" s="37">
        <f>D52*$C$5^2/8*IF(Input!$C$4="SI",0.000001,7.37562151807618E-07)</f>
        <v/>
      </c>
      <c r="G52" s="38">
        <f>ABS(C52)*$C$4/2*IF(Input!$C$4="SI",0.001,0.000224808943870962)</f>
        <v/>
      </c>
      <c r="H52" s="35">
        <f>ABS(E52)/(IF(C52&gt;=0,$D$27,$D$28))</f>
        <v/>
      </c>
      <c r="I52" s="35">
        <f>IF($D$29=0,0,ABS(F52)/$D$29)</f>
        <v/>
      </c>
      <c r="J52" s="35">
        <f>H52+I52</f>
        <v/>
      </c>
      <c r="K52" s="35">
        <f>G52/$D$32</f>
        <v/>
      </c>
    </row>
    <row r="53">
      <c r="B53" s="36" t="inlineStr">
        <is>
          <t>0.9D+1.4Wu (uplift)</t>
        </is>
      </c>
      <c r="C53" s="35">
        <f>0.9*C38+0*C39+0*C40+0*C41+1.4*C42</f>
        <v/>
      </c>
      <c r="D53" s="35">
        <f>0.9*D38+0*D39+0*D40+0*D41+1.4*D42</f>
        <v/>
      </c>
      <c r="E53" s="37">
        <f>C53*$C$4^2/8*IF(Input!$C$4="SI",0.000001,7.37562151807618E-07)</f>
        <v/>
      </c>
      <c r="F53" s="37">
        <f>D53*$C$5^2/8*IF(Input!$C$4="SI",0.000001,7.37562151807618E-07)</f>
        <v/>
      </c>
      <c r="G53" s="38">
        <f>ABS(C53)*$C$4/2*IF(Input!$C$4="SI",0.001,0.000224808943870962)</f>
        <v/>
      </c>
      <c r="H53" s="35">
        <f>ABS(E53)/(IF(C53&gt;=0,$D$27,$D$28))</f>
        <v/>
      </c>
      <c r="I53" s="35">
        <f>IF($D$29=0,0,ABS(F53)/$D$29)</f>
        <v/>
      </c>
      <c r="J53" s="35">
        <f>H53+I53</f>
        <v/>
      </c>
      <c r="K53" s="35">
        <f>G53/$D$32</f>
        <v/>
      </c>
    </row>
    <row r="54">
      <c r="B54" s="36" t="inlineStr">
        <is>
          <t>0.9D+1.4Wp</t>
        </is>
      </c>
      <c r="C54" s="35">
        <f>0.9*C38+0*C39+0*C40+1.4*C41+0*C42</f>
        <v/>
      </c>
      <c r="D54" s="35">
        <f>0.9*D38+0*D39+0*D40+1.4*D41+0*D42</f>
        <v/>
      </c>
      <c r="E54" s="37">
        <f>C54*$C$4^2/8*IF(Input!$C$4="SI",0.000001,7.37562151807618E-07)</f>
        <v/>
      </c>
      <c r="F54" s="37">
        <f>D54*$C$5^2/8*IF(Input!$C$4="SI",0.000001,7.37562151807618E-07)</f>
        <v/>
      </c>
      <c r="G54" s="38">
        <f>ABS(C54)*$C$4/2*IF(Input!$C$4="SI",0.001,0.000224808943870962)</f>
        <v/>
      </c>
      <c r="H54" s="35">
        <f>ABS(E54)/(IF(C54&gt;=0,$D$27,$D$28))</f>
        <v/>
      </c>
      <c r="I54" s="35">
        <f>IF($D$29=0,0,ABS(F54)/$D$29)</f>
        <v/>
      </c>
      <c r="J54" s="35">
        <f>H54+I54</f>
        <v/>
      </c>
      <c r="K54" s="35">
        <f>G54/$D$32</f>
        <v/>
      </c>
    </row>
    <row r="55">
      <c r="B55" s="39" t="inlineStr">
        <is>
          <t>GOVERNING (max utilization)</t>
        </is>
      </c>
      <c r="J55" s="40">
        <f>MAX(H46:H54,I46:I54,J46:J54,K46:K54)</f>
        <v/>
      </c>
      <c r="K55" s="41">
        <f>IF(J55&lt;=1,"PASS","FAIL")</f>
        <v/>
      </c>
    </row>
    <row r="56">
      <c r="B56" s="42" t="inlineStr">
        <is>
          <t>Note: Mfx, Mfy shown in kN·m and Vf in kN when SI is selected (×10⁶/10³ scaling).</t>
        </is>
      </c>
    </row>
    <row r="57">
      <c r="B57" s="42" t="inlineStr">
        <is>
          <t>Utilizations are unitless → valid in both unit systems.</t>
        </is>
      </c>
    </row>
    <row r="59">
      <c r="B59" s="50" t="inlineStr">
        <is>
          <t>6.  Serviceability – deflection  (SLS, specified loads)</t>
        </is>
      </c>
    </row>
    <row r="60">
      <c r="B60" s="34" t="inlineStr">
        <is>
          <t>Case</t>
        </is>
      </c>
      <c r="C60" s="34" t="inlineStr">
        <is>
          <t>δ actual</t>
        </is>
      </c>
      <c r="D60" s="34" t="inlineStr">
        <is>
          <t>δ allow</t>
        </is>
      </c>
      <c r="E60" s="34" t="inlineStr">
        <is>
          <t>Ratio δ/δa</t>
        </is>
      </c>
      <c r="F60" s="34" t="inlineStr">
        <is>
          <t>Status</t>
        </is>
      </c>
    </row>
    <row r="61">
      <c r="B61" s="6" t="inlineStr">
        <is>
          <t>Strong axis – wind</t>
        </is>
      </c>
      <c r="C61" s="43">
        <f>5*MAX(C41,ABS(C42))*(C4)^4/(384*Input!$E$12*Input!$E$71)</f>
        <v/>
      </c>
      <c r="D61" s="43">
        <f>C4/Input!$E$84</f>
        <v/>
      </c>
      <c r="E61" s="44">
        <f>C61/D61</f>
        <v/>
      </c>
      <c r="F61" s="45">
        <f>IF(C61&lt;=D61,"PASS","FAIL")</f>
        <v/>
      </c>
      <c r="G61" s="42" t="inlineStr">
        <is>
          <t>(mm / values shown in mm)</t>
        </is>
      </c>
    </row>
    <row r="62">
      <c r="B62" s="6" t="inlineStr">
        <is>
          <t>Weak axis – gravity (sag span)</t>
        </is>
      </c>
      <c r="C62" s="43">
        <f>5*ABS(D38)*(C5)^4/(384*Input!$E$12*Input!$E$72)</f>
        <v/>
      </c>
      <c r="D62" s="43">
        <f>C5/Input!$E$85</f>
        <v/>
      </c>
      <c r="E62" s="44">
        <f>C62/D62</f>
        <v/>
      </c>
      <c r="F62" s="45">
        <f>IF(C62&lt;=D62,"PASS","FAIL")</f>
        <v/>
      </c>
      <c r="G62" s="42" t="inlineStr">
        <is>
          <t>(mm / values shown in mm)</t>
        </is>
      </c>
    </row>
    <row r="63">
      <c r="B63" s="39" t="inlineStr">
        <is>
          <t>SLS governing ratio</t>
        </is>
      </c>
      <c r="E63" s="40">
        <f>MAX(E61,E62)</f>
        <v/>
      </c>
      <c r="F63" s="41">
        <f>IF(E63&lt;=1,"PASS","FAIL")</f>
        <v/>
      </c>
    </row>
    <row r="65">
      <c r="B65" s="50" t="inlineStr">
        <is>
          <t>7.  Member verdict</t>
        </is>
      </c>
    </row>
    <row r="66">
      <c r="B66" s="10" t="inlineStr">
        <is>
          <t>Governing ULS utilization</t>
        </is>
      </c>
      <c r="C66" s="46">
        <f>J55</f>
        <v/>
      </c>
      <c r="D66" s="18">
        <f>K55</f>
        <v/>
      </c>
    </row>
    <row r="67">
      <c r="B67" s="10" t="inlineStr">
        <is>
          <t>Governing SLS ratio</t>
        </is>
      </c>
      <c r="C67" s="46">
        <f>E63</f>
        <v/>
      </c>
      <c r="D67" s="18">
        <f>F63</f>
        <v/>
      </c>
    </row>
    <row r="68">
      <c r="B68" s="10" t="inlineStr">
        <is>
          <t>Section class ≤ 3 ?</t>
        </is>
      </c>
      <c r="D68" s="18">
        <f>IF(C16&lt;=3,"OK","CLASS 4 – review")</f>
        <v/>
      </c>
    </row>
    <row r="69" ht="15.75" customHeight="1">
      <c r="B69" s="47" t="inlineStr">
        <is>
          <t>OVERALL</t>
        </is>
      </c>
      <c r="C69" s="15">
        <f>IF(AND(K55="PASS",F63="PASS",C16&lt;=3,G71&lt;=1),"PASS","REVIEW")</f>
        <v/>
      </c>
    </row>
    <row r="71">
      <c r="B71" s="9" t="inlineStr">
        <is>
          <t xml:space="preserve">Optional axial+bending (Cl.13.8.4) if Cf&gt;0: Cf/Cr + (Ux+Uy) = </t>
        </is>
      </c>
      <c r="G71" s="48">
        <f>IF(Input!$E$86&gt;0,Input!$E$86/C33+MAX(J46:J54),0)</f>
        <v/>
      </c>
    </row>
    <row r="72">
      <c r="B72" s="42" t="inlineStr">
        <is>
          <t>(conservative: uses governing Ux+Uy with U1=1.0)</t>
        </is>
      </c>
    </row>
  </sheetData>
  <mergeCells count="8">
    <mergeCell ref="B44:F44"/>
    <mergeCell ref="B65:F65"/>
    <mergeCell ref="B3:F3"/>
    <mergeCell ref="B19:F19"/>
    <mergeCell ref="B59:F59"/>
    <mergeCell ref="B1:F1"/>
    <mergeCell ref="B9:F9"/>
    <mergeCell ref="B35:F35"/>
  </mergeCells>
  <pageMargins left="0.4" right="0.4" top="0.5" bottom="0.5" header="0.511811023622047" footer="0.5"/>
  <pageSetup orientation="landscape" fitToHeight="0" horizontalDpi="300" verticalDpi="300"/>
  <headerFooter>
    <oddHeader/>
    <oddFooter>&amp;C&amp;8 CSA S16-19 Purlin Girt Design  |  &amp;A  |  Page &amp;P of &amp;N</oddFooter>
    <evenHeader/>
    <evenFooter/>
    <firstHeader/>
    <firstFooter/>
  </headerFooter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B1:I137"/>
  <sheetViews>
    <sheetView showGridLines="0"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34" customWidth="1" min="2" max="2"/>
    <col width="40" customWidth="1" min="3" max="3"/>
    <col width="52" customWidth="1" min="4" max="4"/>
    <col width="14" customWidth="1" min="5" max="5"/>
    <col width="10" customWidth="1" min="6" max="6"/>
    <col width="16" customWidth="1" min="7" max="7"/>
    <col width="14" customWidth="1" min="8" max="8"/>
    <col width="12" customWidth="1" min="9" max="9"/>
  </cols>
  <sheetData>
    <row r="1">
      <c r="B1" s="55" t="inlineStr">
        <is>
          <t>CSA S16-19 — HAND CALCULATION &amp; INDEPENDENT VERIFICATION (Purlin &amp; Girt)</t>
        </is>
      </c>
      <c r="C1" s="56" t="n"/>
      <c r="D1" s="56" t="n"/>
      <c r="E1" s="56" t="n"/>
      <c r="F1" s="56" t="n"/>
      <c r="G1" s="56" t="n"/>
      <c r="H1" s="56" t="n"/>
      <c r="I1" s="56" t="n"/>
    </row>
    <row r="2">
      <c r="B2" s="57" t="inlineStr">
        <is>
          <t>All quantities in SI base (N, mm, MPa); moments in kN·m, forces in kN. Each result is recomputed independently from the Input tab and compared with the Purlin / Girt tab value.</t>
        </is>
      </c>
    </row>
    <row r="4">
      <c r="B4" s="58" t="inlineStr">
        <is>
          <t>PURLIN — Step 1: Derived geometry</t>
        </is>
      </c>
      <c r="C4" s="59" t="n"/>
      <c r="D4" s="59" t="n"/>
      <c r="E4" s="59" t="n"/>
      <c r="F4" s="59" t="n"/>
      <c r="G4" s="59" t="n"/>
      <c r="H4" s="59" t="n"/>
      <c r="I4" s="59" t="n"/>
    </row>
    <row r="5">
      <c r="B5" s="60" t="inlineStr">
        <is>
          <t>Item</t>
        </is>
      </c>
      <c r="C5" s="60" t="inlineStr">
        <is>
          <t>Equation (symbolic)</t>
        </is>
      </c>
      <c r="D5" s="60" t="inlineStr">
        <is>
          <t>Substituted values</t>
        </is>
      </c>
      <c r="E5" s="60" t="inlineStr">
        <is>
          <t>Result</t>
        </is>
      </c>
      <c r="F5" s="60" t="inlineStr">
        <is>
          <t>Unit</t>
        </is>
      </c>
      <c r="G5" s="60" t="inlineStr">
        <is>
          <t>Clause</t>
        </is>
      </c>
      <c r="H5" s="60" t="inlineStr">
        <is>
          <t>Design-tab value</t>
        </is>
      </c>
      <c r="I5" s="60" t="inlineStr">
        <is>
          <t>Check</t>
        </is>
      </c>
    </row>
    <row r="6">
      <c r="B6" s="61" t="inlineStr">
        <is>
          <t>Span L</t>
        </is>
      </c>
      <c r="C6" s="62" t="inlineStr">
        <is>
          <t>L</t>
        </is>
      </c>
      <c r="D6" s="62" t="inlineStr"/>
      <c r="E6" s="63">
        <f>Input!$E$18</f>
        <v/>
      </c>
      <c r="F6" s="61" t="inlineStr">
        <is>
          <t>mm</t>
        </is>
      </c>
      <c r="G6" s="64" t="inlineStr">
        <is>
          <t>Input</t>
        </is>
      </c>
      <c r="H6" s="65">
        <f>Purlin!C4</f>
        <v/>
      </c>
      <c r="I6" s="66">
        <f>IF(ISNUMBER(H6),IF(ABS(E6-H6)&lt;=0.0001*MAX(1,ABS(H6)),"✓ OK","✗ CHECK"),IF(E6=H6,"✓ OK","✗ CHECK"))</f>
        <v/>
      </c>
    </row>
    <row r="7">
      <c r="B7" s="61" t="inlineStr">
        <is>
          <t>Weak-axis span Ly</t>
        </is>
      </c>
      <c r="C7" s="62" t="inlineStr">
        <is>
          <t>Ly = L/(n+1)</t>
        </is>
      </c>
      <c r="D7" s="62">
        <f>"= "&amp;TEXT(Input!$E$18,"0")&amp;"/("&amp;TEXT(Input!$E$21,"0")&amp;"+1)"</f>
        <v/>
      </c>
      <c r="E7" s="63">
        <f>Input!$E$18/(Input!$E$21+1)</f>
        <v/>
      </c>
      <c r="F7" s="61" t="inlineStr">
        <is>
          <t>mm</t>
        </is>
      </c>
      <c r="G7" s="64" t="inlineStr">
        <is>
          <t>Assumption</t>
        </is>
      </c>
      <c r="H7" s="65">
        <f>Purlin!C5</f>
        <v/>
      </c>
      <c r="I7" s="66">
        <f>IF(ISNUMBER(H7),IF(ABS(E7-H7)&lt;=0.0001*MAX(1,ABS(H7)),"✓ OK","✗ CHECK"),IF(E7=H7,"✓ OK","✗ CHECK"))</f>
        <v/>
      </c>
    </row>
    <row r="8">
      <c r="B8" s="61" t="inlineStr">
        <is>
          <t>Radius of gyration rx</t>
        </is>
      </c>
      <c r="C8" s="62" t="inlineStr">
        <is>
          <t>rx = √(Ix/A)</t>
        </is>
      </c>
      <c r="D8" s="62">
        <f>"= √("&amp;TEXT(Input!$E$34,"0")&amp;" / "&amp;TEXT(Input!$E$33,"0")&amp;")"</f>
        <v/>
      </c>
      <c r="E8" s="67">
        <f>SQRT(Input!$E$34/Input!$E$33)</f>
        <v/>
      </c>
      <c r="F8" s="61" t="inlineStr">
        <is>
          <t>mm</t>
        </is>
      </c>
      <c r="G8" s="64" t="inlineStr">
        <is>
          <t>—</t>
        </is>
      </c>
      <c r="H8" s="68">
        <f>Purlin!C6</f>
        <v/>
      </c>
      <c r="I8" s="66">
        <f>IF(ISNUMBER(H8),IF(ABS(E8-H8)&lt;=0.0001*MAX(1,ABS(H8)),"✓ OK","✗ CHECK"),IF(E8=H8,"✓ OK","✗ CHECK"))</f>
        <v/>
      </c>
    </row>
    <row r="9">
      <c r="B9" s="61" t="inlineStr">
        <is>
          <t>Radius of gyration ry</t>
        </is>
      </c>
      <c r="C9" s="62" t="inlineStr">
        <is>
          <t>ry = √(Iy/A)</t>
        </is>
      </c>
      <c r="D9" s="62">
        <f>"= √("&amp;TEXT(Input!$E$35,"0")&amp;" / "&amp;TEXT(Input!$E$33,"0")&amp;")"</f>
        <v/>
      </c>
      <c r="E9" s="67">
        <f>SQRT(Input!$E$35/Input!$E$33)</f>
        <v/>
      </c>
      <c r="F9" s="61" t="inlineStr">
        <is>
          <t>mm</t>
        </is>
      </c>
      <c r="G9" s="64" t="inlineStr">
        <is>
          <t>—</t>
        </is>
      </c>
      <c r="H9" s="68">
        <f>Purlin!C7</f>
        <v/>
      </c>
      <c r="I9" s="66">
        <f>IF(ISNUMBER(H9),IF(ABS(E9-H9)&lt;=0.0001*MAX(1,ABS(H9)),"✓ OK","✗ CHECK"),IF(E9=H9,"✓ OK","✗ CHECK"))</f>
        <v/>
      </c>
    </row>
    <row r="10">
      <c r="B10" s="58" t="inlineStr">
        <is>
          <t>PURLIN — Step 2: Section classification</t>
        </is>
      </c>
      <c r="C10" s="59" t="n"/>
      <c r="D10" s="59" t="n"/>
      <c r="E10" s="59" t="n"/>
      <c r="F10" s="59" t="n"/>
      <c r="G10" s="59" t="n"/>
      <c r="H10" s="59" t="n"/>
      <c r="I10" s="59" t="n"/>
    </row>
    <row r="11">
      <c r="B11" s="60" t="inlineStr">
        <is>
          <t>Item</t>
        </is>
      </c>
      <c r="C11" s="60" t="inlineStr">
        <is>
          <t>Equation (symbolic)</t>
        </is>
      </c>
      <c r="D11" s="60" t="inlineStr">
        <is>
          <t>Substituted values</t>
        </is>
      </c>
      <c r="E11" s="60" t="inlineStr">
        <is>
          <t>Result</t>
        </is>
      </c>
      <c r="F11" s="60" t="inlineStr">
        <is>
          <t>Unit</t>
        </is>
      </c>
      <c r="G11" s="60" t="inlineStr">
        <is>
          <t>Clause</t>
        </is>
      </c>
      <c r="H11" s="60" t="inlineStr">
        <is>
          <t>Design-tab value</t>
        </is>
      </c>
      <c r="I11" s="60" t="inlineStr">
        <is>
          <t>Check</t>
        </is>
      </c>
    </row>
    <row r="12">
      <c r="B12" s="61" t="inlineStr">
        <is>
          <t>Flange element width bel</t>
        </is>
      </c>
      <c r="C12" s="62" t="inlineStr">
        <is>
          <t>W: bf/2 · C: bf · HSS: bf−4t</t>
        </is>
      </c>
      <c r="D12" s="62">
        <f>"bf = "&amp;TEXT(Input!$E$30,"0.0")&amp;"  ("&amp;TEXT(Input!$E$28,"@")&amp;")"</f>
        <v/>
      </c>
      <c r="E12" s="69">
        <f>IF(Input!$E$28="W",Input!$E$30/2,IF(Input!$E$28="C",Input!$E$30,Input!$E$30-4*Input!$E$32))</f>
        <v/>
      </c>
      <c r="F12" s="61" t="inlineStr">
        <is>
          <t>mm</t>
        </is>
      </c>
      <c r="G12" s="64" t="inlineStr">
        <is>
          <t>Cl. 11.3</t>
        </is>
      </c>
      <c r="H12" s="70">
        <f>Purlin!C10</f>
        <v/>
      </c>
      <c r="I12" s="66">
        <f>IF(ISNUMBER(H12),IF(ABS(E12-H12)&lt;=0.0001*MAX(1,ABS(H12)),"✓ OK","✗ CHECK"),IF(E12=H12,"✓ OK","✗ CHECK"))</f>
        <v/>
      </c>
    </row>
    <row r="13">
      <c r="B13" s="61" t="inlineStr">
        <is>
          <t>Web element height h</t>
        </is>
      </c>
      <c r="C13" s="62" t="inlineStr">
        <is>
          <t>W/C: d−2tf · HSS: d−4t</t>
        </is>
      </c>
      <c r="D13" s="62">
        <f>"= "&amp;TEXT(Input!$E$29,"0.0")&amp;" − 2×"&amp;TEXT(Input!$E$31,"0.0")&amp;""</f>
        <v/>
      </c>
      <c r="E13" s="69">
        <f>IF(Input!$E$28="HSS",Input!$E$29-4*Input!$E$32,Input!$E$29-2*Input!$E$31)</f>
        <v/>
      </c>
      <c r="F13" s="61" t="inlineStr">
        <is>
          <t>mm</t>
        </is>
      </c>
      <c r="G13" s="64" t="inlineStr">
        <is>
          <t>Cl. 11.3</t>
        </is>
      </c>
      <c r="H13" s="70">
        <f>Purlin!C11</f>
        <v/>
      </c>
      <c r="I13" s="66">
        <f>IF(ISNUMBER(H13),IF(ABS(E13-H13)&lt;=0.0001*MAX(1,ABS(H13)),"✓ OK","✗ CHECK"),IF(E13=H13,"✓ OK","✗ CHECK"))</f>
        <v/>
      </c>
    </row>
    <row r="14">
      <c r="B14" s="61" t="inlineStr">
        <is>
          <t>Flange b/t</t>
        </is>
      </c>
      <c r="C14" s="62" t="inlineStr">
        <is>
          <t>bel / tf</t>
        </is>
      </c>
      <c r="D14" s="62">
        <f>"= "&amp;TEXT(E12,"0.00")&amp;" / "&amp;TEXT(Input!$E$31,"0.0")&amp;""</f>
        <v/>
      </c>
      <c r="E14" s="67">
        <f>E12/Input!$E$31</f>
        <v/>
      </c>
      <c r="F14" s="61" t="inlineStr">
        <is>
          <t>—</t>
        </is>
      </c>
      <c r="G14" s="64" t="inlineStr">
        <is>
          <t>Table 1</t>
        </is>
      </c>
      <c r="H14" s="68">
        <f>Purlin!C12</f>
        <v/>
      </c>
      <c r="I14" s="66">
        <f>IF(ISNUMBER(H14),IF(ABS(E14-H14)&lt;=0.0001*MAX(1,ABS(H14)),"✓ OK","✗ CHECK"),IF(E14=H14,"✓ OK","✗ CHECK"))</f>
        <v/>
      </c>
    </row>
    <row r="15">
      <c r="B15" s="61" t="inlineStr">
        <is>
          <t>Web h/w</t>
        </is>
      </c>
      <c r="C15" s="62" t="inlineStr">
        <is>
          <t>h / w</t>
        </is>
      </c>
      <c r="D15" s="62">
        <f>"= "&amp;TEXT(E13,"0.00")&amp;" / "&amp;TEXT(Input!$E$32,"0.0")&amp;""</f>
        <v/>
      </c>
      <c r="E15" s="67">
        <f>E13/Input!$E$32</f>
        <v/>
      </c>
      <c r="F15" s="61" t="inlineStr">
        <is>
          <t>—</t>
        </is>
      </c>
      <c r="G15" s="64" t="inlineStr">
        <is>
          <t>Table 1</t>
        </is>
      </c>
      <c r="H15" s="68">
        <f>Purlin!C13</f>
        <v/>
      </c>
      <c r="I15" s="66">
        <f>IF(ISNUMBER(H15),IF(ABS(E15-H15)&lt;=0.0001*MAX(1,ABS(H15)),"✓ OK","✗ CHECK"),IF(E15=H15,"✓ OK","✗ CHECK"))</f>
        <v/>
      </c>
    </row>
    <row r="16">
      <c r="B16" s="61" t="inlineStr">
        <is>
          <t>Class 1 flange limit</t>
        </is>
      </c>
      <c r="C16" s="62" t="inlineStr">
        <is>
          <t>145/√Fy (HSS 420/√Fy)</t>
        </is>
      </c>
      <c r="D16" s="62">
        <f>"= 145/√"&amp;TEXT(Input!$E$10,"0")&amp;""</f>
        <v/>
      </c>
      <c r="E16" s="67">
        <f>IF(Input!$E$28="HSS",420,145)/SQRT(Input!$E$10)</f>
        <v/>
      </c>
      <c r="F16" s="61" t="inlineStr">
        <is>
          <t>—</t>
        </is>
      </c>
      <c r="G16" s="64" t="inlineStr">
        <is>
          <t>Table 1</t>
        </is>
      </c>
      <c r="H16" s="71" t="n"/>
      <c r="I16" s="71" t="n"/>
    </row>
    <row r="17">
      <c r="B17" s="61" t="inlineStr">
        <is>
          <t>Flange class</t>
        </is>
      </c>
      <c r="C17" s="62" t="inlineStr">
        <is>
          <t>compare b/t to 145,170,200 /√Fy</t>
        </is>
      </c>
      <c r="D17" s="62" t="inlineStr"/>
      <c r="E17" s="72">
        <f>IF(E14&lt;=IF(Input!$E$28="HSS",420,145)/SQRT(Input!$E$10),1,IF(E14&lt;=IF(Input!$E$28="HSS",525,170)/SQRT(Input!$E$10),2,IF(E14&lt;=IF(Input!$E$28="HSS",670,200)/SQRT(Input!$E$10),3,4)))</f>
        <v/>
      </c>
      <c r="F17" s="61" t="inlineStr">
        <is>
          <t>—</t>
        </is>
      </c>
      <c r="G17" s="64" t="inlineStr">
        <is>
          <t>Table 1</t>
        </is>
      </c>
      <c r="H17" s="73">
        <f>Purlin!C14</f>
        <v/>
      </c>
      <c r="I17" s="66">
        <f>IF(ISNUMBER(H17),IF(ABS(E17-H17)&lt;=0.0001*MAX(1,ABS(H17)),"✓ OK","✗ CHECK"),IF(E17=H17,"✓ OK","✗ CHECK"))</f>
        <v/>
      </c>
    </row>
    <row r="18">
      <c r="B18" s="61" t="inlineStr">
        <is>
          <t>Web class</t>
        </is>
      </c>
      <c r="C18" s="62" t="inlineStr">
        <is>
          <t>compare h/w to 1100,1700,1900 /√Fy</t>
        </is>
      </c>
      <c r="D18" s="62" t="inlineStr"/>
      <c r="E18" s="72">
        <f>IF(E15&lt;=1100/SQRT(Input!$E$10),1,IF(E15&lt;=1700/SQRT(Input!$E$10),2,IF(E15&lt;=1900/SQRT(Input!$E$10),3,4)))</f>
        <v/>
      </c>
      <c r="F18" s="61" t="inlineStr">
        <is>
          <t>—</t>
        </is>
      </c>
      <c r="G18" s="64" t="inlineStr">
        <is>
          <t>Table 1</t>
        </is>
      </c>
      <c r="H18" s="73">
        <f>Purlin!C15</f>
        <v/>
      </c>
      <c r="I18" s="66">
        <f>IF(ISNUMBER(H18),IF(ABS(E18-H18)&lt;=0.0001*MAX(1,ABS(H18)),"✓ OK","✗ CHECK"),IF(E18=H18,"✓ OK","✗ CHECK"))</f>
        <v/>
      </c>
    </row>
    <row r="19">
      <c r="B19" s="61" t="inlineStr">
        <is>
          <t>Governing class</t>
        </is>
      </c>
      <c r="C19" s="62" t="inlineStr">
        <is>
          <t>max(flange, web)</t>
        </is>
      </c>
      <c r="D19" s="62" t="inlineStr"/>
      <c r="E19" s="72">
        <f>MAX(E17,E18)</f>
        <v/>
      </c>
      <c r="F19" s="61" t="inlineStr">
        <is>
          <t>—</t>
        </is>
      </c>
      <c r="G19" s="64" t="inlineStr">
        <is>
          <t>Cl. 11.1</t>
        </is>
      </c>
      <c r="H19" s="73">
        <f>Purlin!C16</f>
        <v/>
      </c>
      <c r="I19" s="66">
        <f>IF(ISNUMBER(H19),IF(ABS(E19-H19)&lt;=0.0001*MAX(1,ABS(H19)),"✓ OK","✗ CHECK"),IF(E19=H19,"✓ OK","✗ CHECK"))</f>
        <v/>
      </c>
    </row>
    <row r="20">
      <c r="B20" s="58" t="inlineStr">
        <is>
          <t>PURLIN — Step 3: Member resistances (φ = 0.90)</t>
        </is>
      </c>
      <c r="C20" s="59" t="n"/>
      <c r="D20" s="59" t="n"/>
      <c r="E20" s="59" t="n"/>
      <c r="F20" s="59" t="n"/>
      <c r="G20" s="59" t="n"/>
      <c r="H20" s="59" t="n"/>
      <c r="I20" s="59" t="n"/>
    </row>
    <row r="21">
      <c r="B21" s="60" t="inlineStr">
        <is>
          <t>Item</t>
        </is>
      </c>
      <c r="C21" s="60" t="inlineStr">
        <is>
          <t>Equation (symbolic)</t>
        </is>
      </c>
      <c r="D21" s="60" t="inlineStr">
        <is>
          <t>Substituted values</t>
        </is>
      </c>
      <c r="E21" s="60" t="inlineStr">
        <is>
          <t>Result</t>
        </is>
      </c>
      <c r="F21" s="60" t="inlineStr">
        <is>
          <t>Unit</t>
        </is>
      </c>
      <c r="G21" s="60" t="inlineStr">
        <is>
          <t>Clause</t>
        </is>
      </c>
      <c r="H21" s="60" t="inlineStr">
        <is>
          <t>Design-tab value</t>
        </is>
      </c>
      <c r="I21" s="60" t="inlineStr">
        <is>
          <t>Check</t>
        </is>
      </c>
    </row>
    <row r="22">
      <c r="B22" s="61" t="inlineStr">
        <is>
          <t>Plastic moment Mp</t>
        </is>
      </c>
      <c r="C22" s="62" t="inlineStr">
        <is>
          <t>Mp = Zx·Fy</t>
        </is>
      </c>
      <c r="D22" s="62">
        <f>"= "&amp;TEXT(Input!$E$38,"0")&amp;" × "&amp;TEXT(Input!$E$10,"0")&amp;" / 10⁶"</f>
        <v/>
      </c>
      <c r="E22" s="67">
        <f>Input!$E$38*Input!$E$10/1e6</f>
        <v/>
      </c>
      <c r="F22" s="61" t="inlineStr">
        <is>
          <t>kN·m</t>
        </is>
      </c>
      <c r="G22" s="64" t="inlineStr">
        <is>
          <t>—</t>
        </is>
      </c>
      <c r="H22" s="68">
        <f>Purlin!C20/1e6</f>
        <v/>
      </c>
      <c r="I22" s="66">
        <f>IF(ISNUMBER(H22),IF(ABS(E22-H22)&lt;=0.0001*MAX(1,ABS(H22)),"✓ OK","✗ CHECK"),IF(E22=H22,"✓ OK","✗ CHECK"))</f>
        <v/>
      </c>
    </row>
    <row r="23">
      <c r="B23" s="61" t="inlineStr">
        <is>
          <t>Yield moment My</t>
        </is>
      </c>
      <c r="C23" s="62" t="inlineStr">
        <is>
          <t>My = Sx·Fy</t>
        </is>
      </c>
      <c r="D23" s="62">
        <f>"= "&amp;TEXT(Input!$E$36,"0")&amp;" × "&amp;TEXT(Input!$E$10,"0")&amp;" / 10⁶"</f>
        <v/>
      </c>
      <c r="E23" s="67">
        <f>Input!$E$36*Input!$E$10/1e6</f>
        <v/>
      </c>
      <c r="F23" s="61" t="inlineStr">
        <is>
          <t>kN·m</t>
        </is>
      </c>
      <c r="G23" s="64" t="inlineStr">
        <is>
          <t>—</t>
        </is>
      </c>
      <c r="H23" s="68">
        <f>Purlin!C21/1e6</f>
        <v/>
      </c>
      <c r="I23" s="66">
        <f>IF(ISNUMBER(H23),IF(ABS(E23-H23)&lt;=0.0001*MAX(1,ABS(H23)),"✓ OK","✗ CHECK"),IF(E23=H23,"✓ OK","✗ CHECK"))</f>
        <v/>
      </c>
    </row>
    <row r="24">
      <c r="B24" s="61" t="inlineStr">
        <is>
          <t>Mrx (laterally supported)</t>
        </is>
      </c>
      <c r="C24" s="62" t="inlineStr">
        <is>
          <t>Class 1-2: φZxFy · Class 3: φSxFy</t>
        </is>
      </c>
      <c r="D24" s="62">
        <f>"= 0.9 × "&amp;TEXT(IF(E19&lt;=2,E22,E23),"0.00")&amp;""</f>
        <v/>
      </c>
      <c r="E24" s="67">
        <f>0.9*IF(E19&lt;=2,E22,E23)</f>
        <v/>
      </c>
      <c r="F24" s="61" t="inlineStr">
        <is>
          <t>kN·m</t>
        </is>
      </c>
      <c r="G24" s="64" t="inlineStr">
        <is>
          <t>Cl. 13.5(a)/(b)</t>
        </is>
      </c>
      <c r="H24" s="68">
        <f>Purlin!C22/1e6</f>
        <v/>
      </c>
      <c r="I24" s="66">
        <f>IF(ISNUMBER(H24),IF(ABS(E24-H24)&lt;=0.0001*MAX(1,ABS(H24)),"✓ OK","✗ CHECK"),IF(E24=H24,"✓ OK","✗ CHECK"))</f>
        <v/>
      </c>
    </row>
    <row r="25">
      <c r="B25" s="61" t="inlineStr">
        <is>
          <t>Mu at Lu(+)</t>
        </is>
      </c>
      <c r="C25" s="62" t="inlineStr">
        <is>
          <t>Mu = (ω₂π/Lu)·√(E·Iy·G·J + (πE/Lu)²·Iy·Cw)</t>
        </is>
      </c>
      <c r="D25" s="62">
        <f>"ω₂="&amp;TEXT(Input!$E$26,"0.00")&amp;"; Lu="&amp;TEXT(Input!$E$23,"0")&amp;" mm; E·Iy·G·J="&amp;TEXT(Input!$E$12*Input!$E$35*Input!$E$13*Input!$E$40,"0.000E+00")&amp;"; (πE/Lu)²IyCw="&amp;TEXT((PI()*Input!$E$12/Input!$E$23)^2*Input!$E$35*Input!$E$41,"0.000E+00")&amp;""</f>
        <v/>
      </c>
      <c r="E25" s="67">
        <f>(Input!$E$26*PI()/Input!$E$23)*SQRT(Input!$E$12*Input!$E$35*Input!$E$13*Input!$E$40+(PI()*Input!$E$12/Input!$E$23)^2*Input!$E$35*Input!$E$41)/1e6</f>
        <v/>
      </c>
      <c r="F25" s="61" t="inlineStr">
        <is>
          <t>kN·m</t>
        </is>
      </c>
      <c r="G25" s="64" t="inlineStr">
        <is>
          <t>Cl. 13.6.1(a)</t>
        </is>
      </c>
      <c r="H25" s="68">
        <f>Purlin!C23/1e6</f>
        <v/>
      </c>
      <c r="I25" s="66">
        <f>IF(ISNUMBER(H25),IF(ABS(E25-H25)&lt;=0.0001*MAX(1,ABS(H25)),"✓ OK","✗ CHECK"),IF(E25=H25,"✓ OK","✗ CHECK"))</f>
        <v/>
      </c>
    </row>
    <row r="26">
      <c r="B26" s="61" t="inlineStr">
        <is>
          <t>Mr LTB at Lu(+)</t>
        </is>
      </c>
      <c r="C26" s="62" t="inlineStr">
        <is>
          <t>Mu&gt;0.67Mp: min(1.15φMp(1−0.28Mp/Mu), φMp) else φMu</t>
        </is>
      </c>
      <c r="D26" s="62">
        <f>"Mu/Mp = "&amp;TEXT(E25/IF(E19&lt;=2,E22,E23),"0.000")&amp;" → 1.15×0.9×"&amp;TEXT(IF(E19&lt;=2,E22,E23),"0.00")&amp;"×(1−0.28×"&amp;TEXT(IF(E19&lt;=2,E22,E23),"0.00")&amp;"/"&amp;TEXT(E25,"0.00")&amp;")"</f>
        <v/>
      </c>
      <c r="E26" s="67">
        <f>IF(E25&gt;0.67*IF(E19&lt;=2,E22,E23),MIN(1.15*0.9*IF(E19&lt;=2,E22,E23)*(1-0.28*IF(E19&lt;=2,E22,E23)/E25),0.9*IF(E19&lt;=2,E22,E23)),0.9*E25)</f>
        <v/>
      </c>
      <c r="F26" s="61" t="inlineStr">
        <is>
          <t>kN·m</t>
        </is>
      </c>
      <c r="G26" s="64" t="inlineStr">
        <is>
          <t>Cl. 13.6.1(a)</t>
        </is>
      </c>
      <c r="H26" s="68">
        <f>Purlin!C25/1e6</f>
        <v/>
      </c>
      <c r="I26" s="66">
        <f>IF(ISNUMBER(H26),IF(ABS(E26-H26)&lt;=0.0001*MAX(1,ABS(H26)),"✓ OK","✗ CHECK"),IF(E26=H26,"✓ OK","✗ CHECK"))</f>
        <v/>
      </c>
    </row>
    <row r="27">
      <c r="B27" s="61" t="inlineStr">
        <is>
          <t>Mrx used, load +ve</t>
        </is>
      </c>
      <c r="C27" s="62" t="inlineStr">
        <is>
          <t>braced? Mrx : Mr,LTB</t>
        </is>
      </c>
      <c r="D27" s="62">
        <f>"braced = "&amp;TEXT(Input!$E$22,"@")&amp;""</f>
        <v/>
      </c>
      <c r="E27" s="67">
        <f>IF(Input!$E$22="Yes",E24,E26)</f>
        <v/>
      </c>
      <c r="F27" s="61" t="inlineStr">
        <is>
          <t>kN·m</t>
        </is>
      </c>
      <c r="G27" s="64" t="inlineStr">
        <is>
          <t>Cl. 13.5 / 13.6</t>
        </is>
      </c>
      <c r="H27" s="68">
        <f>Purlin!C27/1e6</f>
        <v/>
      </c>
      <c r="I27" s="66">
        <f>IF(ISNUMBER(H27),IF(ABS(E27-H27)&lt;=0.0001*MAX(1,ABS(H27)),"✓ OK","✗ CHECK"),IF(E27=H27,"✓ OK","✗ CHECK"))</f>
        <v/>
      </c>
    </row>
    <row r="28">
      <c r="B28" s="61" t="inlineStr">
        <is>
          <t>Mu at Lu(−)</t>
        </is>
      </c>
      <c r="C28" s="62" t="inlineStr">
        <is>
          <t>Mu = (ω₂π/Lu)·√(E·Iy·G·J + (πE/Lu)²·Iy·Cw)</t>
        </is>
      </c>
      <c r="D28" s="62">
        <f>"ω₂="&amp;TEXT(Input!$E$26,"0.00")&amp;"; Lu="&amp;TEXT(Input!$E$25,"0")&amp;" mm; E·Iy·G·J="&amp;TEXT(Input!$E$12*Input!$E$35*Input!$E$13*Input!$E$40,"0.000E+00")&amp;"; (πE/Lu)²IyCw="&amp;TEXT((PI()*Input!$E$12/Input!$E$25)^2*Input!$E$35*Input!$E$41,"0.000E+00")&amp;""</f>
        <v/>
      </c>
      <c r="E28" s="67">
        <f>(Input!$E$26*PI()/Input!$E$25)*SQRT(Input!$E$12*Input!$E$35*Input!$E$13*Input!$E$40+(PI()*Input!$E$12/Input!$E$25)^2*Input!$E$35*Input!$E$41)/1e6</f>
        <v/>
      </c>
      <c r="F28" s="61" t="inlineStr">
        <is>
          <t>kN·m</t>
        </is>
      </c>
      <c r="G28" s="64" t="inlineStr">
        <is>
          <t>Cl. 13.6.1(a)</t>
        </is>
      </c>
      <c r="H28" s="68">
        <f>Purlin!C24/1e6</f>
        <v/>
      </c>
      <c r="I28" s="66">
        <f>IF(ISNUMBER(H28),IF(ABS(E28-H28)&lt;=0.0001*MAX(1,ABS(H28)),"✓ OK","✗ CHECK"),IF(E28=H28,"✓ OK","✗ CHECK"))</f>
        <v/>
      </c>
    </row>
    <row r="29">
      <c r="B29" s="61" t="inlineStr">
        <is>
          <t>Mr LTB at Lu(−)</t>
        </is>
      </c>
      <c r="C29" s="62" t="inlineStr">
        <is>
          <t>Mu&gt;0.67Mp: min(1.15φMp(1−0.28Mp/Mu), φMp) else φMu</t>
        </is>
      </c>
      <c r="D29" s="62">
        <f>"Mu/Mp = "&amp;TEXT(E28/IF(E19&lt;=2,E22,E23),"0.000")&amp;" → 1.15×0.9×"&amp;TEXT(IF(E19&lt;=2,E22,E23),"0.00")&amp;"×(1−0.28×"&amp;TEXT(IF(E19&lt;=2,E22,E23),"0.00")&amp;"/"&amp;TEXT(E28,"0.00")&amp;")"</f>
        <v/>
      </c>
      <c r="E29" s="67">
        <f>IF(E28&gt;0.67*IF(E19&lt;=2,E22,E23),MIN(1.15*0.9*IF(E19&lt;=2,E22,E23)*(1-0.28*IF(E19&lt;=2,E22,E23)/E28),0.9*IF(E19&lt;=2,E22,E23)),0.9*E28)</f>
        <v/>
      </c>
      <c r="F29" s="61" t="inlineStr">
        <is>
          <t>kN·m</t>
        </is>
      </c>
      <c r="G29" s="64" t="inlineStr">
        <is>
          <t>Cl. 13.6.1(a)</t>
        </is>
      </c>
      <c r="H29" s="68">
        <f>Purlin!C26/1e6</f>
        <v/>
      </c>
      <c r="I29" s="66">
        <f>IF(ISNUMBER(H29),IF(ABS(E29-H29)&lt;=0.0001*MAX(1,ABS(H29)),"✓ OK","✗ CHECK"),IF(E29=H29,"✓ OK","✗ CHECK"))</f>
        <v/>
      </c>
    </row>
    <row r="30">
      <c r="B30" s="61" t="inlineStr">
        <is>
          <t>Mrx used, load −ve</t>
        </is>
      </c>
      <c r="C30" s="62" t="inlineStr">
        <is>
          <t>braced? Mrx : Mr,LTB</t>
        </is>
      </c>
      <c r="D30" s="62">
        <f>"braced = "&amp;TEXT(Input!$E$24,"@")&amp;""</f>
        <v/>
      </c>
      <c r="E30" s="67">
        <f>IF(Input!$E$24="Yes",E24,E29)</f>
        <v/>
      </c>
      <c r="F30" s="61" t="inlineStr">
        <is>
          <t>kN·m</t>
        </is>
      </c>
      <c r="G30" s="64" t="inlineStr">
        <is>
          <t>Cl. 13.5 / 13.6</t>
        </is>
      </c>
      <c r="H30" s="68">
        <f>Purlin!C28/1e6</f>
        <v/>
      </c>
      <c r="I30" s="66">
        <f>IF(ISNUMBER(H30),IF(ABS(E30-H30)&lt;=0.0001*MAX(1,ABS(H30)),"✓ OK","✗ CHECK"),IF(E30=H30,"✓ OK","✗ CHECK"))</f>
        <v/>
      </c>
    </row>
    <row r="31">
      <c r="B31" s="61" t="inlineStr">
        <is>
          <t>Mry (weak axis)</t>
        </is>
      </c>
      <c r="C31" s="62" t="inlineStr">
        <is>
          <t>Class 1-2: φZyFy · Class 3: φSyFy</t>
        </is>
      </c>
      <c r="D31" s="62">
        <f>"= 0.9 × "&amp;TEXT(IF(E19&lt;=2,Input!$E$39,Input!$E$37),"0")&amp;" × "&amp;TEXT(Input!$E$10,"0")&amp;" / 10⁶"</f>
        <v/>
      </c>
      <c r="E31" s="67">
        <f>0.9*IF(E19&lt;=2,Input!$E$39,Input!$E$37)*Input!$E$10/1e6</f>
        <v/>
      </c>
      <c r="F31" s="61" t="inlineStr">
        <is>
          <t>kN·m</t>
        </is>
      </c>
      <c r="G31" s="64" t="inlineStr">
        <is>
          <t>Cl. 13.5</t>
        </is>
      </c>
      <c r="H31" s="68">
        <f>Purlin!C29/1e6</f>
        <v/>
      </c>
      <c r="I31" s="66">
        <f>IF(ISNUMBER(H31),IF(ABS(E31-H31)&lt;=0.0001*MAX(1,ABS(H31)),"✓ OK","✗ CHECK"),IF(E31=H31,"✓ OK","✗ CHECK"))</f>
        <v/>
      </c>
    </row>
    <row r="32">
      <c r="B32" s="61" t="inlineStr">
        <is>
          <t>Shear area Aw</t>
        </is>
      </c>
      <c r="C32" s="62" t="inlineStr">
        <is>
          <t>W/C: d·w · HSS: 2(d−4t)t</t>
        </is>
      </c>
      <c r="D32" s="62">
        <f>"= "&amp;TEXT(Input!$E$29,"0.0")&amp;" × "&amp;TEXT(Input!$E$32,"0.0")&amp;""</f>
        <v/>
      </c>
      <c r="E32" s="63">
        <f>IF(Input!$E$28="HSS",2*(Input!$E$29-4*Input!$E$32)*Input!$E$32,Input!$E$29*Input!$E$32)</f>
        <v/>
      </c>
      <c r="F32" s="61" t="inlineStr">
        <is>
          <t>mm²</t>
        </is>
      </c>
      <c r="G32" s="64" t="inlineStr">
        <is>
          <t>Cl. 13.4.1</t>
        </is>
      </c>
      <c r="H32" s="65">
        <f>Purlin!C30</f>
        <v/>
      </c>
      <c r="I32" s="66">
        <f>IF(ISNUMBER(H32),IF(ABS(E32-H32)&lt;=0.0001*MAX(1,ABS(H32)),"✓ OK","✗ CHECK"),IF(E32=H32,"✓ OK","✗ CHECK"))</f>
        <v/>
      </c>
    </row>
    <row r="33">
      <c r="B33" s="61" t="inlineStr">
        <is>
          <t>Shear stress Fs (kv=5.34)</t>
        </is>
      </c>
      <c r="C33" s="62" t="inlineStr">
        <is>
          <t>h/w ≤ 1014√(kv/Fy) → 0.66Fy</t>
        </is>
      </c>
      <c r="D33" s="62">
        <f>"h/w = "&amp;TEXT(E15,"0.00")&amp;" vs limit "&amp;TEXT(1014*SQRT(5.34/Input!$E$10),"0.0")&amp;""</f>
        <v/>
      </c>
      <c r="E33" s="69">
        <f>IF(E15&lt;=1014*SQRT(5.34/Input!$E$10),0.66*Input!$E$10,IF(E15&lt;=1435*SQRT(5.34/Input!$E$10),670*SQRT(5.34*Input!$E$10)/E15,961200*5.34/E15^2))</f>
        <v/>
      </c>
      <c r="F33" s="61" t="inlineStr">
        <is>
          <t>MPa</t>
        </is>
      </c>
      <c r="G33" s="64" t="inlineStr">
        <is>
          <t>Cl. 13.4.1.1</t>
        </is>
      </c>
      <c r="H33" s="70">
        <f>Purlin!C31</f>
        <v/>
      </c>
      <c r="I33" s="66">
        <f>IF(ISNUMBER(H33),IF(ABS(E33-H33)&lt;=0.0001*MAX(1,ABS(H33)),"✓ OK","✗ CHECK"),IF(E33=H33,"✓ OK","✗ CHECK"))</f>
        <v/>
      </c>
    </row>
    <row r="34">
      <c r="B34" s="61" t="inlineStr">
        <is>
          <t>Shear resistance Vr</t>
        </is>
      </c>
      <c r="C34" s="62" t="inlineStr">
        <is>
          <t>Vr = φ·Aw·Fs</t>
        </is>
      </c>
      <c r="D34" s="62">
        <f>"= 0.9 × "&amp;TEXT(E32,"0")&amp;" × "&amp;TEXT(E33,"0.0")&amp;" / 10³"</f>
        <v/>
      </c>
      <c r="E34" s="67">
        <f>0.9*E32*E33/1000</f>
        <v/>
      </c>
      <c r="F34" s="61" t="inlineStr">
        <is>
          <t>kN</t>
        </is>
      </c>
      <c r="G34" s="64" t="inlineStr">
        <is>
          <t>Cl. 13.4.1</t>
        </is>
      </c>
      <c r="H34" s="68">
        <f>Purlin!C32/1000</f>
        <v/>
      </c>
      <c r="I34" s="66">
        <f>IF(ISNUMBER(H34),IF(ABS(E34-H34)&lt;=0.0001*MAX(1,ABS(H34)),"✓ OK","✗ CHECK"),IF(E34=H34,"✓ OK","✗ CHECK"))</f>
        <v/>
      </c>
    </row>
    <row r="35">
      <c r="B35" s="61" t="inlineStr">
        <is>
          <t>Axial Cr (n = 1.34)</t>
        </is>
      </c>
      <c r="C35" s="62" t="inlineStr">
        <is>
          <t>Cr = φAFy(1+λ^2n)^(−1/n)</t>
        </is>
      </c>
      <c r="D35" s="62">
        <f>"KL/r = "&amp;TEXT(MAX(E6/E8,E7/E9),"0.0")&amp;""</f>
        <v/>
      </c>
      <c r="E35" s="67">
        <f>0.9*Input!$E$33*Input!$E$10*(1+(SQRT(Input!$E$10/(PI()^2*Input!$E$12/MAX(E6/E8,E7/E9)^2)))^(2*1.34))^(-1/1.34)/1000</f>
        <v/>
      </c>
      <c r="F35" s="61" t="inlineStr">
        <is>
          <t>kN</t>
        </is>
      </c>
      <c r="G35" s="64" t="inlineStr">
        <is>
          <t>Cl. 13.3.1</t>
        </is>
      </c>
      <c r="H35" s="68">
        <f>Purlin!C33/1000</f>
        <v/>
      </c>
      <c r="I35" s="66">
        <f>IF(ISNUMBER(H35),IF(ABS(E35-H35)&lt;=0.0001*MAX(1,ABS(H35)),"✓ OK","✗ CHECK"),IF(E35=H35,"✓ OK","✗ CHECK"))</f>
        <v/>
      </c>
    </row>
    <row r="36">
      <c r="B36" s="58" t="inlineStr">
        <is>
          <t>PURLIN — Step 4: Unfactored line loads (N/mm), self-weight A×77e-6 included in D</t>
        </is>
      </c>
      <c r="C36" s="59" t="n"/>
      <c r="D36" s="59" t="n"/>
      <c r="E36" s="59" t="n"/>
      <c r="F36" s="59" t="n"/>
      <c r="G36" s="59" t="n"/>
      <c r="H36" s="59" t="n"/>
      <c r="I36" s="59" t="n"/>
    </row>
    <row r="37">
      <c r="B37" s="60" t="inlineStr">
        <is>
          <t>Item</t>
        </is>
      </c>
      <c r="C37" s="60" t="inlineStr">
        <is>
          <t>Equation (symbolic)</t>
        </is>
      </c>
      <c r="D37" s="60" t="inlineStr">
        <is>
          <t>Substituted values</t>
        </is>
      </c>
      <c r="E37" s="60" t="inlineStr">
        <is>
          <t>Result</t>
        </is>
      </c>
      <c r="F37" s="60" t="inlineStr">
        <is>
          <t>Unit</t>
        </is>
      </c>
      <c r="G37" s="60" t="inlineStr">
        <is>
          <t>Clause</t>
        </is>
      </c>
      <c r="H37" s="60" t="inlineStr">
        <is>
          <t>Design-tab value</t>
        </is>
      </c>
      <c r="I37" s="60" t="inlineStr">
        <is>
          <t>Check</t>
        </is>
      </c>
    </row>
    <row r="38">
      <c r="B38" s="61" t="inlineStr">
        <is>
          <t>D: wx (strong)</t>
        </is>
      </c>
      <c r="C38" s="62" t="inlineStr">
        <is>
          <t>purlin: w·s·cosθ · wind normal</t>
        </is>
      </c>
      <c r="D38" s="62" t="inlineStr"/>
      <c r="E38" s="74">
        <f>(Input!$E$43*Input!$E$19+Input!$E$33*Input!$E$14*0.000001)*COS(RADIANS(Input!$E$20))</f>
        <v/>
      </c>
      <c r="F38" s="61" t="inlineStr">
        <is>
          <t>N/mm</t>
        </is>
      </c>
      <c r="G38" s="64" t="inlineStr">
        <is>
          <t>Cl. 4.1.3 NBCC</t>
        </is>
      </c>
      <c r="H38" s="75">
        <f>Purlin!C38</f>
        <v/>
      </c>
      <c r="I38" s="66">
        <f>IF(ISNUMBER(H38),IF(ABS(E38-H38)&lt;=0.0001*MAX(1,ABS(H38)),"✓ OK","✗ CHECK"),IF(E38=H38,"✓ OK","✗ CHECK"))</f>
        <v/>
      </c>
    </row>
    <row r="39">
      <c r="B39" s="61" t="inlineStr">
        <is>
          <t>D: wy (weak)</t>
        </is>
      </c>
      <c r="C39" s="62" t="inlineStr">
        <is>
          <t>w·s·sinθ</t>
        </is>
      </c>
      <c r="D39" s="62" t="inlineStr"/>
      <c r="E39" s="74">
        <f>(Input!$E$43*Input!$E$19+Input!$E$33*Input!$E$14*0.000001)*SIN(RADIANS(Input!$E$20))</f>
        <v/>
      </c>
      <c r="F39" s="61" t="inlineStr">
        <is>
          <t>N/mm</t>
        </is>
      </c>
      <c r="G39" s="64" t="inlineStr">
        <is>
          <t>—</t>
        </is>
      </c>
      <c r="H39" s="75">
        <f>Purlin!D38</f>
        <v/>
      </c>
      <c r="I39" s="66">
        <f>IF(ISNUMBER(H39),IF(ABS(E39-H39)&lt;=0.0001*MAX(1,ABS(H39)),"✓ OK","✗ CHECK"),IF(E39=H39,"✓ OK","✗ CHECK"))</f>
        <v/>
      </c>
    </row>
    <row r="40">
      <c r="B40" s="61" t="inlineStr">
        <is>
          <t>S: wx (strong)</t>
        </is>
      </c>
      <c r="C40" s="62" t="inlineStr">
        <is>
          <t>purlin: w·s·cosθ · wind normal</t>
        </is>
      </c>
      <c r="D40" s="62" t="inlineStr"/>
      <c r="E40" s="74">
        <f>Input!$E$44*Input!$E$19*COS(RADIANS(Input!$E$20))</f>
        <v/>
      </c>
      <c r="F40" s="61" t="inlineStr">
        <is>
          <t>N/mm</t>
        </is>
      </c>
      <c r="G40" s="64" t="inlineStr">
        <is>
          <t>Cl. 4.1.3 NBCC</t>
        </is>
      </c>
      <c r="H40" s="75">
        <f>Purlin!C39</f>
        <v/>
      </c>
      <c r="I40" s="66">
        <f>IF(ISNUMBER(H40),IF(ABS(E40-H40)&lt;=0.0001*MAX(1,ABS(H40)),"✓ OK","✗ CHECK"),IF(E40=H40,"✓ OK","✗ CHECK"))</f>
        <v/>
      </c>
    </row>
    <row r="41">
      <c r="B41" s="61" t="inlineStr">
        <is>
          <t>S: wy (weak)</t>
        </is>
      </c>
      <c r="C41" s="62" t="inlineStr">
        <is>
          <t>w·s·sinθ</t>
        </is>
      </c>
      <c r="D41" s="62" t="inlineStr"/>
      <c r="E41" s="74">
        <f>Input!$E$44*Input!$E$19*SIN(RADIANS(Input!$E$20))</f>
        <v/>
      </c>
      <c r="F41" s="61" t="inlineStr">
        <is>
          <t>N/mm</t>
        </is>
      </c>
      <c r="G41" s="64" t="inlineStr">
        <is>
          <t>—</t>
        </is>
      </c>
      <c r="H41" s="75">
        <f>Purlin!D39</f>
        <v/>
      </c>
      <c r="I41" s="66">
        <f>IF(ISNUMBER(H41),IF(ABS(E41-H41)&lt;=0.0001*MAX(1,ABS(H41)),"✓ OK","✗ CHECK"),IF(E41=H41,"✓ OK","✗ CHECK"))</f>
        <v/>
      </c>
    </row>
    <row r="42">
      <c r="B42" s="61" t="inlineStr">
        <is>
          <t>Lr: wx (strong)</t>
        </is>
      </c>
      <c r="C42" s="62" t="inlineStr">
        <is>
          <t>purlin: w·s·cosθ · wind normal</t>
        </is>
      </c>
      <c r="D42" s="62" t="inlineStr"/>
      <c r="E42" s="74">
        <f>Input!$E$45*Input!$E$19*COS(RADIANS(Input!$E$20))</f>
        <v/>
      </c>
      <c r="F42" s="61" t="inlineStr">
        <is>
          <t>N/mm</t>
        </is>
      </c>
      <c r="G42" s="64" t="inlineStr">
        <is>
          <t>Cl. 4.1.3 NBCC</t>
        </is>
      </c>
      <c r="H42" s="75">
        <f>Purlin!C40</f>
        <v/>
      </c>
      <c r="I42" s="66">
        <f>IF(ISNUMBER(H42),IF(ABS(E42-H42)&lt;=0.0001*MAX(1,ABS(H42)),"✓ OK","✗ CHECK"),IF(E42=H42,"✓ OK","✗ CHECK"))</f>
        <v/>
      </c>
    </row>
    <row r="43">
      <c r="B43" s="61" t="inlineStr">
        <is>
          <t>Lr: wy (weak)</t>
        </is>
      </c>
      <c r="C43" s="62" t="inlineStr">
        <is>
          <t>w·s·sinθ</t>
        </is>
      </c>
      <c r="D43" s="62" t="inlineStr"/>
      <c r="E43" s="74">
        <f>Input!$E$45*Input!$E$19*SIN(RADIANS(Input!$E$20))</f>
        <v/>
      </c>
      <c r="F43" s="61" t="inlineStr">
        <is>
          <t>N/mm</t>
        </is>
      </c>
      <c r="G43" s="64" t="inlineStr">
        <is>
          <t>—</t>
        </is>
      </c>
      <c r="H43" s="75">
        <f>Purlin!D40</f>
        <v/>
      </c>
      <c r="I43" s="66">
        <f>IF(ISNUMBER(H43),IF(ABS(E43-H43)&lt;=0.0001*MAX(1,ABS(H43)),"✓ OK","✗ CHECK"),IF(E43=H43,"✓ OK","✗ CHECK"))</f>
        <v/>
      </c>
    </row>
    <row r="44">
      <c r="B44" s="61" t="inlineStr">
        <is>
          <t>Wp: wx (strong)</t>
        </is>
      </c>
      <c r="C44" s="62" t="inlineStr">
        <is>
          <t>purlin: w·s·cosθ · wind normal</t>
        </is>
      </c>
      <c r="D44" s="62" t="inlineStr"/>
      <c r="E44" s="74">
        <f>Input!$E$46*Input!$E$19</f>
        <v/>
      </c>
      <c r="F44" s="61" t="inlineStr">
        <is>
          <t>N/mm</t>
        </is>
      </c>
      <c r="G44" s="64" t="inlineStr">
        <is>
          <t>Cl. 4.1.3 NBCC</t>
        </is>
      </c>
      <c r="H44" s="75">
        <f>Purlin!C41</f>
        <v/>
      </c>
      <c r="I44" s="66">
        <f>IF(ISNUMBER(H44),IF(ABS(E44-H44)&lt;=0.0001*MAX(1,ABS(H44)),"✓ OK","✗ CHECK"),IF(E44=H44,"✓ OK","✗ CHECK"))</f>
        <v/>
      </c>
    </row>
    <row r="45">
      <c r="B45" s="61" t="inlineStr">
        <is>
          <t>Wp: wy (weak)</t>
        </is>
      </c>
      <c r="C45" s="62" t="inlineStr">
        <is>
          <t>w·s·sinθ</t>
        </is>
      </c>
      <c r="D45" s="62" t="inlineStr"/>
      <c r="E45" s="74">
        <f>0</f>
        <v/>
      </c>
      <c r="F45" s="61" t="inlineStr">
        <is>
          <t>N/mm</t>
        </is>
      </c>
      <c r="G45" s="64" t="inlineStr">
        <is>
          <t>—</t>
        </is>
      </c>
      <c r="H45" s="75">
        <f>Purlin!D41</f>
        <v/>
      </c>
      <c r="I45" s="66">
        <f>IF(ISNUMBER(H45),IF(ABS(E45-H45)&lt;=0.0001*MAX(1,ABS(H45)),"✓ OK","✗ CHECK"),IF(E45=H45,"✓ OK","✗ CHECK"))</f>
        <v/>
      </c>
    </row>
    <row r="46">
      <c r="B46" s="61" t="inlineStr">
        <is>
          <t>Wu: wx (strong)</t>
        </is>
      </c>
      <c r="C46" s="62" t="inlineStr">
        <is>
          <t>purlin: w·s·cosθ · wind normal</t>
        </is>
      </c>
      <c r="D46" s="62" t="inlineStr"/>
      <c r="E46" s="74">
        <f>-Input!$E$47*Input!$E$19</f>
        <v/>
      </c>
      <c r="F46" s="61" t="inlineStr">
        <is>
          <t>N/mm</t>
        </is>
      </c>
      <c r="G46" s="64" t="inlineStr">
        <is>
          <t>Cl. 4.1.3 NBCC</t>
        </is>
      </c>
      <c r="H46" s="75">
        <f>Purlin!C42</f>
        <v/>
      </c>
      <c r="I46" s="66">
        <f>IF(ISNUMBER(H46),IF(ABS(E46-H46)&lt;=0.0001*MAX(1,ABS(H46)),"✓ OK","✗ CHECK"),IF(E46=H46,"✓ OK","✗ CHECK"))</f>
        <v/>
      </c>
    </row>
    <row r="47">
      <c r="B47" s="61" t="inlineStr">
        <is>
          <t>Wu: wy (weak)</t>
        </is>
      </c>
      <c r="C47" s="62" t="inlineStr">
        <is>
          <t>w·s·sinθ</t>
        </is>
      </c>
      <c r="D47" s="62" t="inlineStr"/>
      <c r="E47" s="74">
        <f>0</f>
        <v/>
      </c>
      <c r="F47" s="61" t="inlineStr">
        <is>
          <t>N/mm</t>
        </is>
      </c>
      <c r="G47" s="64" t="inlineStr">
        <is>
          <t>—</t>
        </is>
      </c>
      <c r="H47" s="75">
        <f>Purlin!D42</f>
        <v/>
      </c>
      <c r="I47" s="66">
        <f>IF(ISNUMBER(H47),IF(ABS(E47-H47)&lt;=0.0001*MAX(1,ABS(H47)),"✓ OK","✗ CHECK"),IF(E47=H47,"✓ OK","✗ CHECK"))</f>
        <v/>
      </c>
    </row>
    <row r="48">
      <c r="B48" s="58" t="inlineStr">
        <is>
          <t>PURLIN — Step 5: ULS combinations (NBCC 2020) — governing check</t>
        </is>
      </c>
      <c r="C48" s="59" t="n"/>
      <c r="D48" s="59" t="n"/>
      <c r="E48" s="59" t="n"/>
      <c r="F48" s="59" t="n"/>
      <c r="G48" s="59" t="n"/>
      <c r="H48" s="59" t="n"/>
      <c r="I48" s="59" t="n"/>
    </row>
    <row r="49">
      <c r="B49" s="60" t="inlineStr">
        <is>
          <t>Item</t>
        </is>
      </c>
      <c r="C49" s="60" t="inlineStr">
        <is>
          <t>Equation (symbolic)</t>
        </is>
      </c>
      <c r="D49" s="60" t="inlineStr">
        <is>
          <t>Substituted values</t>
        </is>
      </c>
      <c r="E49" s="60" t="inlineStr">
        <is>
          <t>Result</t>
        </is>
      </c>
      <c r="F49" s="60" t="inlineStr">
        <is>
          <t>Unit</t>
        </is>
      </c>
      <c r="G49" s="60" t="inlineStr">
        <is>
          <t>Clause</t>
        </is>
      </c>
      <c r="H49" s="60" t="inlineStr">
        <is>
          <t>Design-tab value</t>
        </is>
      </c>
      <c r="I49" s="60" t="inlineStr">
        <is>
          <t>Check</t>
        </is>
      </c>
    </row>
    <row r="50">
      <c r="B50" s="61" t="inlineStr">
        <is>
          <t>1.4D: Ux+Uy</t>
        </is>
      </c>
      <c r="C50" s="62" t="inlineStr">
        <is>
          <t>|Mfx|/Mrx± + |Mfy|/Mry</t>
        </is>
      </c>
      <c r="D50" s="62">
        <f>"Mfx="&amp;TEXT(((1.4*E38+0*E40+0*E42+0*E44+0*E46)*E6^2/8/1e6),"0.00")&amp;" kN·m; Mfy="&amp;TEXT(((1.4*E39+0*E41+0*E43+0*E45+0*E47)*E7^2/8/1e6),"0.000")&amp;" kN·m; Vf/Vr="&amp;TEXT(ABS(1.4*E38+0*E40+0*E42+0*E44+0*E46)*E6/2/1000/E34,"0.0000")&amp;""</f>
        <v/>
      </c>
      <c r="E50" s="74">
        <f>ABS(((1.4*E38+0*E40+0*E42+0*E44+0*E46)*E6^2/8/1e6))/IF(((1.4*E38+0*E40+0*E42+0*E44+0*E46)*E6^2/8/1e6)&gt;=0,E27,E30)+ABS(((1.4*E39+0*E41+0*E43+0*E45+0*E47)*E7^2/8/1e6))/E31</f>
        <v/>
      </c>
      <c r="F50" s="61" t="inlineStr">
        <is>
          <t>—</t>
        </is>
      </c>
      <c r="G50" s="64" t="inlineStr">
        <is>
          <t>Cl. 13.5(e)</t>
        </is>
      </c>
      <c r="H50" s="75">
        <f>Purlin!J46</f>
        <v/>
      </c>
      <c r="I50" s="66">
        <f>IF(ISNUMBER(H50),IF(ABS(E50-H50)&lt;=0.0001*MAX(1,ABS(H50)),"✓ OK","✗ CHECK"),IF(E50=H50,"✓ OK","✗ CHECK"))</f>
        <v/>
      </c>
    </row>
    <row r="51">
      <c r="B51" s="61" t="inlineStr">
        <is>
          <t>1.25D+1.5S+0.5Lr: Ux+Uy</t>
        </is>
      </c>
      <c r="C51" s="62" t="inlineStr">
        <is>
          <t>|Mfx|/Mrx± + |Mfy|/Mry</t>
        </is>
      </c>
      <c r="D51" s="62">
        <f>"Mfx="&amp;TEXT(((1.25*E38+1.5*E40+0.5*E42+0*E44+0*E46)*E6^2/8/1e6),"0.00")&amp;" kN·m; Mfy="&amp;TEXT(((1.25*E39+1.5*E41+0.5*E43+0*E45+0*E47)*E7^2/8/1e6),"0.000")&amp;" kN·m; Vf/Vr="&amp;TEXT(ABS(1.25*E38+1.5*E40+0.5*E42+0*E44+0*E46)*E6/2/1000/E34,"0.0000")&amp;""</f>
        <v/>
      </c>
      <c r="E51" s="74">
        <f>ABS(((1.25*E38+1.5*E40+0.5*E42+0*E44+0*E46)*E6^2/8/1e6))/IF(((1.25*E38+1.5*E40+0.5*E42+0*E44+0*E46)*E6^2/8/1e6)&gt;=0,E27,E30)+ABS(((1.25*E39+1.5*E41+0.5*E43+0*E45+0*E47)*E7^2/8/1e6))/E31</f>
        <v/>
      </c>
      <c r="F51" s="61" t="inlineStr">
        <is>
          <t>—</t>
        </is>
      </c>
      <c r="G51" s="64" t="inlineStr">
        <is>
          <t>Cl. 13.5(e)</t>
        </is>
      </c>
      <c r="H51" s="75">
        <f>Purlin!J47</f>
        <v/>
      </c>
      <c r="I51" s="66">
        <f>IF(ISNUMBER(H51),IF(ABS(E51-H51)&lt;=0.0001*MAX(1,ABS(H51)),"✓ OK","✗ CHECK"),IF(E51=H51,"✓ OK","✗ CHECK"))</f>
        <v/>
      </c>
    </row>
    <row r="52">
      <c r="B52" s="61" t="inlineStr">
        <is>
          <t>1.25D+1.5Lr+0.5S: Ux+Uy</t>
        </is>
      </c>
      <c r="C52" s="62" t="inlineStr">
        <is>
          <t>|Mfx|/Mrx± + |Mfy|/Mry</t>
        </is>
      </c>
      <c r="D52" s="62">
        <f>"Mfx="&amp;TEXT(((1.25*E38+0.5*E40+1.5*E42+0*E44+0*E46)*E6^2/8/1e6),"0.00")&amp;" kN·m; Mfy="&amp;TEXT(((1.25*E39+0.5*E41+1.5*E43+0*E45+0*E47)*E7^2/8/1e6),"0.000")&amp;" kN·m; Vf/Vr="&amp;TEXT(ABS(1.25*E38+0.5*E40+1.5*E42+0*E44+0*E46)*E6/2/1000/E34,"0.0000")&amp;""</f>
        <v/>
      </c>
      <c r="E52" s="74">
        <f>ABS(((1.25*E38+0.5*E40+1.5*E42+0*E44+0*E46)*E6^2/8/1e6))/IF(((1.25*E38+0.5*E40+1.5*E42+0*E44+0*E46)*E6^2/8/1e6)&gt;=0,E27,E30)+ABS(((1.25*E39+0.5*E41+1.5*E43+0*E45+0*E47)*E7^2/8/1e6))/E31</f>
        <v/>
      </c>
      <c r="F52" s="61" t="inlineStr">
        <is>
          <t>—</t>
        </is>
      </c>
      <c r="G52" s="64" t="inlineStr">
        <is>
          <t>Cl. 13.5(e)</t>
        </is>
      </c>
      <c r="H52" s="75">
        <f>Purlin!J48</f>
        <v/>
      </c>
      <c r="I52" s="66">
        <f>IF(ISNUMBER(H52),IF(ABS(E52-H52)&lt;=0.0001*MAX(1,ABS(H52)),"✓ OK","✗ CHECK"),IF(E52=H52,"✓ OK","✗ CHECK"))</f>
        <v/>
      </c>
    </row>
    <row r="53">
      <c r="B53" s="61" t="inlineStr">
        <is>
          <t>1.25D+1.4Wp+0.5S: Ux+Uy</t>
        </is>
      </c>
      <c r="C53" s="62" t="inlineStr">
        <is>
          <t>|Mfx|/Mrx± + |Mfy|/Mry</t>
        </is>
      </c>
      <c r="D53" s="62">
        <f>"Mfx="&amp;TEXT(((1.25*E38+0.5*E40+0*E42+1.4*E44+0*E46)*E6^2/8/1e6),"0.00")&amp;" kN·m; Mfy="&amp;TEXT(((1.25*E39+0.5*E41+0*E43+1.4*E45+0*E47)*E7^2/8/1e6),"0.000")&amp;" kN·m; Vf/Vr="&amp;TEXT(ABS(1.25*E38+0.5*E40+0*E42+1.4*E44+0*E46)*E6/2/1000/E34,"0.0000")&amp;""</f>
        <v/>
      </c>
      <c r="E53" s="74">
        <f>ABS(((1.25*E38+0.5*E40+0*E42+1.4*E44+0*E46)*E6^2/8/1e6))/IF(((1.25*E38+0.5*E40+0*E42+1.4*E44+0*E46)*E6^2/8/1e6)&gt;=0,E27,E30)+ABS(((1.25*E39+0.5*E41+0*E43+1.4*E45+0*E47)*E7^2/8/1e6))/E31</f>
        <v/>
      </c>
      <c r="F53" s="61" t="inlineStr">
        <is>
          <t>—</t>
        </is>
      </c>
      <c r="G53" s="64" t="inlineStr">
        <is>
          <t>Cl. 13.5(e)</t>
        </is>
      </c>
      <c r="H53" s="75">
        <f>Purlin!J49</f>
        <v/>
      </c>
      <c r="I53" s="66">
        <f>IF(ISNUMBER(H53),IF(ABS(E53-H53)&lt;=0.0001*MAX(1,ABS(H53)),"✓ OK","✗ CHECK"),IF(E53=H53,"✓ OK","✗ CHECK"))</f>
        <v/>
      </c>
    </row>
    <row r="54">
      <c r="B54" s="61" t="inlineStr">
        <is>
          <t>1.25D+1.5S+0.4Wp: Ux+Uy</t>
        </is>
      </c>
      <c r="C54" s="62" t="inlineStr">
        <is>
          <t>|Mfx|/Mrx± + |Mfy|/Mry</t>
        </is>
      </c>
      <c r="D54" s="62">
        <f>"Mfx="&amp;TEXT(((1.25*E38+1.5*E40+0*E42+0.4*E44+0*E46)*E6^2/8/1e6),"0.00")&amp;" kN·m; Mfy="&amp;TEXT(((1.25*E39+1.5*E41+0*E43+0.4*E45+0*E47)*E7^2/8/1e6),"0.000")&amp;" kN·m; Vf/Vr="&amp;TEXT(ABS(1.25*E38+1.5*E40+0*E42+0.4*E44+0*E46)*E6/2/1000/E34,"0.0000")&amp;""</f>
        <v/>
      </c>
      <c r="E54" s="74">
        <f>ABS(((1.25*E38+1.5*E40+0*E42+0.4*E44+0*E46)*E6^2/8/1e6))/IF(((1.25*E38+1.5*E40+0*E42+0.4*E44+0*E46)*E6^2/8/1e6)&gt;=0,E27,E30)+ABS(((1.25*E39+1.5*E41+0*E43+0.4*E45+0*E47)*E7^2/8/1e6))/E31</f>
        <v/>
      </c>
      <c r="F54" s="61" t="inlineStr">
        <is>
          <t>—</t>
        </is>
      </c>
      <c r="G54" s="64" t="inlineStr">
        <is>
          <t>Cl. 13.5(e)</t>
        </is>
      </c>
      <c r="H54" s="75">
        <f>Purlin!J50</f>
        <v/>
      </c>
      <c r="I54" s="66">
        <f>IF(ISNUMBER(H54),IF(ABS(E54-H54)&lt;=0.0001*MAX(1,ABS(H54)),"✓ OK","✗ CHECK"),IF(E54=H54,"✓ OK","✗ CHECK"))</f>
        <v/>
      </c>
    </row>
    <row r="55">
      <c r="B55" s="61" t="inlineStr">
        <is>
          <t>1.25D+1.4Wp: Ux+Uy</t>
        </is>
      </c>
      <c r="C55" s="62" t="inlineStr">
        <is>
          <t>|Mfx|/Mrx± + |Mfy|/Mry</t>
        </is>
      </c>
      <c r="D55" s="62">
        <f>"Mfx="&amp;TEXT(((1.25*E38+0*E40+0*E42+1.4*E44+0*E46)*E6^2/8/1e6),"0.00")&amp;" kN·m; Mfy="&amp;TEXT(((1.25*E39+0*E41+0*E43+1.4*E45+0*E47)*E7^2/8/1e6),"0.000")&amp;" kN·m; Vf/Vr="&amp;TEXT(ABS(1.25*E38+0*E40+0*E42+1.4*E44+0*E46)*E6/2/1000/E34,"0.0000")&amp;""</f>
        <v/>
      </c>
      <c r="E55" s="74">
        <f>ABS(((1.25*E38+0*E40+0*E42+1.4*E44+0*E46)*E6^2/8/1e6))/IF(((1.25*E38+0*E40+0*E42+1.4*E44+0*E46)*E6^2/8/1e6)&gt;=0,E27,E30)+ABS(((1.25*E39+0*E41+0*E43+1.4*E45+0*E47)*E7^2/8/1e6))/E31</f>
        <v/>
      </c>
      <c r="F55" s="61" t="inlineStr">
        <is>
          <t>—</t>
        </is>
      </c>
      <c r="G55" s="64" t="inlineStr">
        <is>
          <t>Cl. 13.5(e)</t>
        </is>
      </c>
      <c r="H55" s="75">
        <f>Purlin!J51</f>
        <v/>
      </c>
      <c r="I55" s="66">
        <f>IF(ISNUMBER(H55),IF(ABS(E55-H55)&lt;=0.0001*MAX(1,ABS(H55)),"✓ OK","✗ CHECK"),IF(E55=H55,"✓ OK","✗ CHECK"))</f>
        <v/>
      </c>
    </row>
    <row r="56">
      <c r="B56" s="61" t="inlineStr">
        <is>
          <t>1.25D+1.4Wu: Ux+Uy</t>
        </is>
      </c>
      <c r="C56" s="62" t="inlineStr">
        <is>
          <t>|Mfx|/Mrx± + |Mfy|/Mry</t>
        </is>
      </c>
      <c r="D56" s="62">
        <f>"Mfx="&amp;TEXT(((1.25*E38+0*E40+0*E42+0*E44+1.4*E46)*E6^2/8/1e6),"0.00")&amp;" kN·m; Mfy="&amp;TEXT(((1.25*E39+0*E41+0*E43+0*E45+1.4*E47)*E7^2/8/1e6),"0.000")&amp;" kN·m; Vf/Vr="&amp;TEXT(ABS(1.25*E38+0*E40+0*E42+0*E44+1.4*E46)*E6/2/1000/E34,"0.0000")&amp;""</f>
        <v/>
      </c>
      <c r="E56" s="74">
        <f>ABS(((1.25*E38+0*E40+0*E42+0*E44+1.4*E46)*E6^2/8/1e6))/IF(((1.25*E38+0*E40+0*E42+0*E44+1.4*E46)*E6^2/8/1e6)&gt;=0,E27,E30)+ABS(((1.25*E39+0*E41+0*E43+0*E45+1.4*E47)*E7^2/8/1e6))/E31</f>
        <v/>
      </c>
      <c r="F56" s="61" t="inlineStr">
        <is>
          <t>—</t>
        </is>
      </c>
      <c r="G56" s="64" t="inlineStr">
        <is>
          <t>Cl. 13.5(e)</t>
        </is>
      </c>
      <c r="H56" s="75">
        <f>Purlin!J52</f>
        <v/>
      </c>
      <c r="I56" s="66">
        <f>IF(ISNUMBER(H56),IF(ABS(E56-H56)&lt;=0.0001*MAX(1,ABS(H56)),"✓ OK","✗ CHECK"),IF(E56=H56,"✓ OK","✗ CHECK"))</f>
        <v/>
      </c>
    </row>
    <row r="57">
      <c r="B57" s="61" t="inlineStr">
        <is>
          <t>0.9D+1.4Wu: Ux+Uy</t>
        </is>
      </c>
      <c r="C57" s="62" t="inlineStr">
        <is>
          <t>|Mfx|/Mrx± + |Mfy|/Mry</t>
        </is>
      </c>
      <c r="D57" s="62">
        <f>"Mfx="&amp;TEXT(((0.9*E38+0*E40+0*E42+0*E44+1.4*E46)*E6^2/8/1e6),"0.00")&amp;" kN·m; Mfy="&amp;TEXT(((0.9*E39+0*E41+0*E43+0*E45+1.4*E47)*E7^2/8/1e6),"0.000")&amp;" kN·m; Vf/Vr="&amp;TEXT(ABS(0.9*E38+0*E40+0*E42+0*E44+1.4*E46)*E6/2/1000/E34,"0.0000")&amp;""</f>
        <v/>
      </c>
      <c r="E57" s="74">
        <f>ABS(((0.9*E38+0*E40+0*E42+0*E44+1.4*E46)*E6^2/8/1e6))/IF(((0.9*E38+0*E40+0*E42+0*E44+1.4*E46)*E6^2/8/1e6)&gt;=0,E27,E30)+ABS(((0.9*E39+0*E41+0*E43+0*E45+1.4*E47)*E7^2/8/1e6))/E31</f>
        <v/>
      </c>
      <c r="F57" s="61" t="inlineStr">
        <is>
          <t>—</t>
        </is>
      </c>
      <c r="G57" s="64" t="inlineStr">
        <is>
          <t>Cl. 13.5(e)</t>
        </is>
      </c>
      <c r="H57" s="75">
        <f>Purlin!J53</f>
        <v/>
      </c>
      <c r="I57" s="66">
        <f>IF(ISNUMBER(H57),IF(ABS(E57-H57)&lt;=0.0001*MAX(1,ABS(H57)),"✓ OK","✗ CHECK"),IF(E57=H57,"✓ OK","✗ CHECK"))</f>
        <v/>
      </c>
    </row>
    <row r="58">
      <c r="B58" s="61" t="inlineStr">
        <is>
          <t>0.9D+1.4Wp: Ux+Uy</t>
        </is>
      </c>
      <c r="C58" s="62" t="inlineStr">
        <is>
          <t>|Mfx|/Mrx± + |Mfy|/Mry</t>
        </is>
      </c>
      <c r="D58" s="62">
        <f>"Mfx="&amp;TEXT(((0.9*E38+0*E40+0*E42+1.4*E44+0*E46)*E6^2/8/1e6),"0.00")&amp;" kN·m; Mfy="&amp;TEXT(((0.9*E39+0*E41+0*E43+1.4*E45+0*E47)*E7^2/8/1e6),"0.000")&amp;" kN·m; Vf/Vr="&amp;TEXT(ABS(0.9*E38+0*E40+0*E42+1.4*E44+0*E46)*E6/2/1000/E34,"0.0000")&amp;""</f>
        <v/>
      </c>
      <c r="E58" s="74">
        <f>ABS(((0.9*E38+0*E40+0*E42+1.4*E44+0*E46)*E6^2/8/1e6))/IF(((0.9*E38+0*E40+0*E42+1.4*E44+0*E46)*E6^2/8/1e6)&gt;=0,E27,E30)+ABS(((0.9*E39+0*E41+0*E43+1.4*E45+0*E47)*E7^2/8/1e6))/E31</f>
        <v/>
      </c>
      <c r="F58" s="61" t="inlineStr">
        <is>
          <t>—</t>
        </is>
      </c>
      <c r="G58" s="64" t="inlineStr">
        <is>
          <t>Cl. 13.5(e)</t>
        </is>
      </c>
      <c r="H58" s="75">
        <f>Purlin!J54</f>
        <v/>
      </c>
      <c r="I58" s="66">
        <f>IF(ISNUMBER(H58),IF(ABS(E58-H58)&lt;=0.0001*MAX(1,ABS(H58)),"✓ OK","✗ CHECK"),IF(E58=H58,"✓ OK","✗ CHECK"))</f>
        <v/>
      </c>
    </row>
    <row r="59">
      <c r="B59" s="61" t="inlineStr">
        <is>
          <t>GOVERNING ULS utilization</t>
        </is>
      </c>
      <c r="C59" s="62" t="inlineStr">
        <is>
          <t>max(Ux, Uy, Ux+Uy, Vf/Vr)</t>
        </is>
      </c>
      <c r="D59" s="62" t="inlineStr"/>
      <c r="E59" s="74">
        <f>MAX(E50,E51,E52,E53,E54,E55,E56,E57,E58)</f>
        <v/>
      </c>
      <c r="F59" s="61" t="inlineStr">
        <is>
          <t>—</t>
        </is>
      </c>
      <c r="G59" s="64" t="inlineStr">
        <is>
          <t>Cl. 13.5(e)</t>
        </is>
      </c>
      <c r="H59" s="75">
        <f>Purlin!J55</f>
        <v/>
      </c>
      <c r="I59" s="66">
        <f>IF(ISNUMBER(H59),IF(ABS(E59-H59)&lt;=0.0001*MAX(1,ABS(H59)),"✓ OK","✗ CHECK"),IF(E59=H59,"✓ OK","✗ CHECK"))</f>
        <v/>
      </c>
    </row>
    <row r="60">
      <c r="B60" s="58" t="inlineStr">
        <is>
          <t>PURLIN — Step 6: Serviceability (δ = 5wL⁴/384EI)</t>
        </is>
      </c>
      <c r="C60" s="59" t="n"/>
      <c r="D60" s="59" t="n"/>
      <c r="E60" s="59" t="n"/>
      <c r="F60" s="59" t="n"/>
      <c r="G60" s="59" t="n"/>
      <c r="H60" s="59" t="n"/>
      <c r="I60" s="59" t="n"/>
    </row>
    <row r="61">
      <c r="B61" s="60" t="inlineStr">
        <is>
          <t>Item</t>
        </is>
      </c>
      <c r="C61" s="60" t="inlineStr">
        <is>
          <t>Equation (symbolic)</t>
        </is>
      </c>
      <c r="D61" s="60" t="inlineStr">
        <is>
          <t>Substituted values</t>
        </is>
      </c>
      <c r="E61" s="60" t="inlineStr">
        <is>
          <t>Result</t>
        </is>
      </c>
      <c r="F61" s="60" t="inlineStr">
        <is>
          <t>Unit</t>
        </is>
      </c>
      <c r="G61" s="60" t="inlineStr">
        <is>
          <t>Clause</t>
        </is>
      </c>
      <c r="H61" s="60" t="inlineStr">
        <is>
          <t>Design-tab value</t>
        </is>
      </c>
      <c r="I61" s="60" t="inlineStr">
        <is>
          <t>Check</t>
        </is>
      </c>
    </row>
    <row r="62">
      <c r="B62" s="61" t="inlineStr">
        <is>
          <t>Strong-axis variable δ</t>
        </is>
      </c>
      <c r="C62" s="62" t="inlineStr">
        <is>
          <t>5·max(wS,wLr,wWp,|wWu|)L⁴/384EIx</t>
        </is>
      </c>
      <c r="D62" s="62" t="inlineStr"/>
      <c r="E62" s="69">
        <f>5*MAX(E40,E42,E44,ABS(E46))*E6^4/(384*Input!$E$12*Input!$E$34)</f>
        <v/>
      </c>
      <c r="F62" s="61" t="inlineStr">
        <is>
          <t>mm</t>
        </is>
      </c>
      <c r="G62" s="64" t="inlineStr">
        <is>
          <t>SLS</t>
        </is>
      </c>
      <c r="H62" s="70">
        <f>Purlin!C61</f>
        <v/>
      </c>
      <c r="I62" s="66">
        <f>IF(ISNUMBER(H62),IF(ABS(E62-H62)&lt;=0.0001*MAX(1,ABS(H62)),"✓ OK","✗ CHECK"),IF(E62=H62,"✓ OK","✗ CHECK"))</f>
        <v/>
      </c>
    </row>
    <row r="63">
      <c r="B63" s="61" t="inlineStr">
        <is>
          <t xml:space="preserve">  ratio δ / (L/lim)</t>
        </is>
      </c>
      <c r="C63" s="62" t="inlineStr"/>
      <c r="D63" s="62" t="inlineStr"/>
      <c r="E63" s="74">
        <f>E62/(E6/Input!$E$49)</f>
        <v/>
      </c>
      <c r="F63" s="61" t="inlineStr">
        <is>
          <t>—</t>
        </is>
      </c>
      <c r="G63" s="64" t="inlineStr">
        <is>
          <t>SLS</t>
        </is>
      </c>
      <c r="H63" s="75">
        <f>Purlin!E61</f>
        <v/>
      </c>
      <c r="I63" s="66">
        <f>IF(ISNUMBER(H63),IF(ABS(E63-H63)&lt;=0.0001*MAX(1,ABS(H63)),"✓ OK","✗ CHECK"),IF(E63=H63,"✓ OK","✗ CHECK"))</f>
        <v/>
      </c>
    </row>
    <row r="64">
      <c r="B64" s="61" t="inlineStr">
        <is>
          <t>Strong-axis total δ</t>
        </is>
      </c>
      <c r="C64" s="62" t="inlineStr">
        <is>
          <t>5·max(|D+var|,|D+Wu|)L⁴/384EIx</t>
        </is>
      </c>
      <c r="D64" s="62" t="inlineStr"/>
      <c r="E64" s="69">
        <f>5*MAX(ABS(E38+MAX(E40,E42,E44)),ABS(E38+E46))*E6^4/(384*Input!$E$12*Input!$E$34)</f>
        <v/>
      </c>
      <c r="F64" s="61" t="inlineStr">
        <is>
          <t>mm</t>
        </is>
      </c>
      <c r="G64" s="64" t="inlineStr">
        <is>
          <t>SLS</t>
        </is>
      </c>
      <c r="H64" s="70">
        <f>Purlin!C62</f>
        <v/>
      </c>
      <c r="I64" s="66">
        <f>IF(ISNUMBER(H64),IF(ABS(E64-H64)&lt;=0.0001*MAX(1,ABS(H64)),"✓ OK","✗ CHECK"),IF(E64=H64,"✓ OK","✗ CHECK"))</f>
        <v/>
      </c>
    </row>
    <row r="65">
      <c r="B65" s="61" t="inlineStr">
        <is>
          <t xml:space="preserve">  ratio δ / (L/lim)</t>
        </is>
      </c>
      <c r="C65" s="62" t="inlineStr"/>
      <c r="D65" s="62" t="inlineStr"/>
      <c r="E65" s="74">
        <f>E64/(E6/Input!$E$50)</f>
        <v/>
      </c>
      <c r="F65" s="61" t="inlineStr">
        <is>
          <t>—</t>
        </is>
      </c>
      <c r="G65" s="64" t="inlineStr">
        <is>
          <t>SLS</t>
        </is>
      </c>
      <c r="H65" s="75">
        <f>Purlin!E62</f>
        <v/>
      </c>
      <c r="I65" s="66">
        <f>IF(ISNUMBER(H65),IF(ABS(E65-H65)&lt;=0.0001*MAX(1,ABS(H65)),"✓ OK","✗ CHECK"),IF(E65=H65,"✓ OK","✗ CHECK"))</f>
        <v/>
      </c>
    </row>
    <row r="66">
      <c r="B66" s="61" t="inlineStr">
        <is>
          <t>Weak-axis variable δ</t>
        </is>
      </c>
      <c r="C66" s="62" t="inlineStr">
        <is>
          <t>5·max(wyS,wyLr)Ly⁴/384EIy</t>
        </is>
      </c>
      <c r="D66" s="62" t="inlineStr"/>
      <c r="E66" s="69">
        <f>5*ABS(MAX(E41,E43))*E7^4/(384*Input!$E$12*Input!$E$35)</f>
        <v/>
      </c>
      <c r="F66" s="61" t="inlineStr">
        <is>
          <t>mm</t>
        </is>
      </c>
      <c r="G66" s="64" t="inlineStr">
        <is>
          <t>SLS</t>
        </is>
      </c>
      <c r="H66" s="70">
        <f>Purlin!C63</f>
        <v/>
      </c>
      <c r="I66" s="66">
        <f>IF(ISNUMBER(H66),IF(ABS(E66-H66)&lt;=0.0001*MAX(1,ABS(H66)),"✓ OK","✗ CHECK"),IF(E66=H66,"✓ OK","✗ CHECK"))</f>
        <v/>
      </c>
    </row>
    <row r="67">
      <c r="B67" s="61" t="inlineStr">
        <is>
          <t xml:space="preserve">  ratio δ / (Ly/lim)</t>
        </is>
      </c>
      <c r="C67" s="62" t="inlineStr"/>
      <c r="D67" s="62" t="inlineStr"/>
      <c r="E67" s="74">
        <f>E66/(E7/Input!$E$49)</f>
        <v/>
      </c>
      <c r="F67" s="61" t="inlineStr">
        <is>
          <t>—</t>
        </is>
      </c>
      <c r="G67" s="64" t="inlineStr">
        <is>
          <t>SLS</t>
        </is>
      </c>
      <c r="H67" s="75">
        <f>Purlin!E63</f>
        <v/>
      </c>
      <c r="I67" s="66">
        <f>IF(ISNUMBER(H67),IF(ABS(E67-H67)&lt;=0.0001*MAX(1,ABS(H67)),"✓ OK","✗ CHECK"),IF(E67=H67,"✓ OK","✗ CHECK"))</f>
        <v/>
      </c>
    </row>
    <row r="68">
      <c r="B68" s="61" t="inlineStr">
        <is>
          <t>GOVERNING SLS ratio</t>
        </is>
      </c>
      <c r="C68" s="62" t="inlineStr">
        <is>
          <t>max</t>
        </is>
      </c>
      <c r="D68" s="62" t="inlineStr"/>
      <c r="E68" s="74">
        <f>MAX(E63,E65,E67)</f>
        <v/>
      </c>
      <c r="F68" s="61" t="inlineStr">
        <is>
          <t>—</t>
        </is>
      </c>
      <c r="G68" s="64" t="inlineStr">
        <is>
          <t>SLS</t>
        </is>
      </c>
      <c r="H68" s="75">
        <f>Purlin!E64</f>
        <v/>
      </c>
      <c r="I68" s="66">
        <f>IF(ISNUMBER(H68),IF(ABS(E68-H68)&lt;=0.0001*MAX(1,ABS(H68)),"✓ OK","✗ CHECK"),IF(E68=H68,"✓ OK","✗ CHECK"))</f>
        <v/>
      </c>
    </row>
    <row r="69">
      <c r="B69" s="61" t="inlineStr">
        <is>
          <t>VERDICT</t>
        </is>
      </c>
      <c r="C69" s="62" t="inlineStr">
        <is>
          <t>ULS ≤ 1, SLS ≤ 1, class ≤ 3</t>
        </is>
      </c>
      <c r="D69" s="62" t="inlineStr"/>
      <c r="E69" s="76">
        <f>IF(AND(E59&lt;=1,E68&lt;=1,E19&lt;=3),"PASS","REVIEW")</f>
        <v/>
      </c>
      <c r="F69" s="61" t="inlineStr">
        <is>
          <t>—</t>
        </is>
      </c>
      <c r="G69" s="64" t="inlineStr">
        <is>
          <t>—</t>
        </is>
      </c>
      <c r="H69" s="77">
        <f>Purlin!C70</f>
        <v/>
      </c>
      <c r="I69" s="66">
        <f>IF(ISNUMBER(H69),IF(ABS(E69-H69)&lt;=0.0001*MAX(1,ABS(H69)),"✓ OK","✗ CHECK"),IF(E69=H69,"✓ OK","✗ CHECK"))</f>
        <v/>
      </c>
    </row>
    <row r="71">
      <c r="B71" s="58" t="inlineStr">
        <is>
          <t>GIRT — Step 1: Derived geometry</t>
        </is>
      </c>
      <c r="C71" s="59" t="n"/>
      <c r="D71" s="59" t="n"/>
      <c r="E71" s="59" t="n"/>
      <c r="F71" s="59" t="n"/>
      <c r="G71" s="59" t="n"/>
      <c r="H71" s="59" t="n"/>
      <c r="I71" s="59" t="n"/>
    </row>
    <row r="72">
      <c r="B72" s="60" t="inlineStr">
        <is>
          <t>Item</t>
        </is>
      </c>
      <c r="C72" s="60" t="inlineStr">
        <is>
          <t>Equation (symbolic)</t>
        </is>
      </c>
      <c r="D72" s="60" t="inlineStr">
        <is>
          <t>Substituted values</t>
        </is>
      </c>
      <c r="E72" s="60" t="inlineStr">
        <is>
          <t>Result</t>
        </is>
      </c>
      <c r="F72" s="60" t="inlineStr">
        <is>
          <t>Unit</t>
        </is>
      </c>
      <c r="G72" s="60" t="inlineStr">
        <is>
          <t>Clause</t>
        </is>
      </c>
      <c r="H72" s="60" t="inlineStr">
        <is>
          <t>Design-tab value</t>
        </is>
      </c>
      <c r="I72" s="60" t="inlineStr">
        <is>
          <t>Check</t>
        </is>
      </c>
    </row>
    <row r="73">
      <c r="B73" s="61" t="inlineStr">
        <is>
          <t>Span L</t>
        </is>
      </c>
      <c r="C73" s="62" t="inlineStr">
        <is>
          <t>L</t>
        </is>
      </c>
      <c r="D73" s="62" t="inlineStr"/>
      <c r="E73" s="63">
        <f>Input!$E$56</f>
        <v/>
      </c>
      <c r="F73" s="61" t="inlineStr">
        <is>
          <t>mm</t>
        </is>
      </c>
      <c r="G73" s="64" t="inlineStr">
        <is>
          <t>Input</t>
        </is>
      </c>
      <c r="H73" s="65">
        <f>Girt!C4</f>
        <v/>
      </c>
      <c r="I73" s="66">
        <f>IF(ISNUMBER(H73),IF(ABS(E73-H73)&lt;=0.0001*MAX(1,ABS(H73)),"✓ OK","✗ CHECK"),IF(E73=H73,"✓ OK","✗ CHECK"))</f>
        <v/>
      </c>
    </row>
    <row r="74">
      <c r="B74" s="61" t="inlineStr">
        <is>
          <t>Weak-axis span Ly</t>
        </is>
      </c>
      <c r="C74" s="62" t="inlineStr">
        <is>
          <t>Ly = L/(n+1)</t>
        </is>
      </c>
      <c r="D74" s="62">
        <f>"= "&amp;TEXT(Input!$E$56,"0")&amp;"/("&amp;TEXT(Input!$E$58,"0")&amp;"+1)"</f>
        <v/>
      </c>
      <c r="E74" s="63">
        <f>Input!$E$56/(Input!$E$58+1)</f>
        <v/>
      </c>
      <c r="F74" s="61" t="inlineStr">
        <is>
          <t>mm</t>
        </is>
      </c>
      <c r="G74" s="64" t="inlineStr">
        <is>
          <t>Assumption</t>
        </is>
      </c>
      <c r="H74" s="65">
        <f>Girt!C5</f>
        <v/>
      </c>
      <c r="I74" s="66">
        <f>IF(ISNUMBER(H74),IF(ABS(E74-H74)&lt;=0.0001*MAX(1,ABS(H74)),"✓ OK","✗ CHECK"),IF(E74=H74,"✓ OK","✗ CHECK"))</f>
        <v/>
      </c>
    </row>
    <row r="75">
      <c r="B75" s="61" t="inlineStr">
        <is>
          <t>Radius of gyration rx</t>
        </is>
      </c>
      <c r="C75" s="62" t="inlineStr">
        <is>
          <t>rx = √(Ix/A)</t>
        </is>
      </c>
      <c r="D75" s="62">
        <f>"= √("&amp;TEXT(Input!$E$71,"0")&amp;" / "&amp;TEXT(Input!$E$70,"0")&amp;")"</f>
        <v/>
      </c>
      <c r="E75" s="67">
        <f>SQRT(Input!$E$71/Input!$E$70)</f>
        <v/>
      </c>
      <c r="F75" s="61" t="inlineStr">
        <is>
          <t>mm</t>
        </is>
      </c>
      <c r="G75" s="64" t="inlineStr">
        <is>
          <t>—</t>
        </is>
      </c>
      <c r="H75" s="68">
        <f>Girt!C6</f>
        <v/>
      </c>
      <c r="I75" s="66">
        <f>IF(ISNUMBER(H75),IF(ABS(E75-H75)&lt;=0.0001*MAX(1,ABS(H75)),"✓ OK","✗ CHECK"),IF(E75=H75,"✓ OK","✗ CHECK"))</f>
        <v/>
      </c>
    </row>
    <row r="76">
      <c r="B76" s="61" t="inlineStr">
        <is>
          <t>Radius of gyration ry</t>
        </is>
      </c>
      <c r="C76" s="62" t="inlineStr">
        <is>
          <t>ry = √(Iy/A)</t>
        </is>
      </c>
      <c r="D76" s="62">
        <f>"= √("&amp;TEXT(Input!$E$72,"0")&amp;" / "&amp;TEXT(Input!$E$70,"0")&amp;")"</f>
        <v/>
      </c>
      <c r="E76" s="67">
        <f>SQRT(Input!$E$72/Input!$E$70)</f>
        <v/>
      </c>
      <c r="F76" s="61" t="inlineStr">
        <is>
          <t>mm</t>
        </is>
      </c>
      <c r="G76" s="64" t="inlineStr">
        <is>
          <t>—</t>
        </is>
      </c>
      <c r="H76" s="68">
        <f>Girt!C7</f>
        <v/>
      </c>
      <c r="I76" s="66">
        <f>IF(ISNUMBER(H76),IF(ABS(E76-H76)&lt;=0.0001*MAX(1,ABS(H76)),"✓ OK","✗ CHECK"),IF(E76=H76,"✓ OK","✗ CHECK"))</f>
        <v/>
      </c>
    </row>
    <row r="77">
      <c r="B77" s="58" t="inlineStr">
        <is>
          <t>GIRT — Step 2: Section classification</t>
        </is>
      </c>
      <c r="C77" s="59" t="n"/>
      <c r="D77" s="59" t="n"/>
      <c r="E77" s="59" t="n"/>
      <c r="F77" s="59" t="n"/>
      <c r="G77" s="59" t="n"/>
      <c r="H77" s="59" t="n"/>
      <c r="I77" s="59" t="n"/>
    </row>
    <row r="78">
      <c r="B78" s="60" t="inlineStr">
        <is>
          <t>Item</t>
        </is>
      </c>
      <c r="C78" s="60" t="inlineStr">
        <is>
          <t>Equation (symbolic)</t>
        </is>
      </c>
      <c r="D78" s="60" t="inlineStr">
        <is>
          <t>Substituted values</t>
        </is>
      </c>
      <c r="E78" s="60" t="inlineStr">
        <is>
          <t>Result</t>
        </is>
      </c>
      <c r="F78" s="60" t="inlineStr">
        <is>
          <t>Unit</t>
        </is>
      </c>
      <c r="G78" s="60" t="inlineStr">
        <is>
          <t>Clause</t>
        </is>
      </c>
      <c r="H78" s="60" t="inlineStr">
        <is>
          <t>Design-tab value</t>
        </is>
      </c>
      <c r="I78" s="60" t="inlineStr">
        <is>
          <t>Check</t>
        </is>
      </c>
    </row>
    <row r="79">
      <c r="B79" s="61" t="inlineStr">
        <is>
          <t>Flange element width bel</t>
        </is>
      </c>
      <c r="C79" s="62" t="inlineStr">
        <is>
          <t>W: bf/2 · C: bf · HSS: bf−4t</t>
        </is>
      </c>
      <c r="D79" s="62">
        <f>"bf = "&amp;TEXT(Input!$E$67,"0.0")&amp;"  ("&amp;TEXT(Input!$E$65,"@")&amp;")"</f>
        <v/>
      </c>
      <c r="E79" s="69">
        <f>IF(Input!$E$65="W",Input!$E$67/2,IF(Input!$E$65="C",Input!$E$67,Input!$E$67-4*Input!$E$69))</f>
        <v/>
      </c>
      <c r="F79" s="61" t="inlineStr">
        <is>
          <t>mm</t>
        </is>
      </c>
      <c r="G79" s="64" t="inlineStr">
        <is>
          <t>Cl. 11.3</t>
        </is>
      </c>
      <c r="H79" s="70">
        <f>Girt!C10</f>
        <v/>
      </c>
      <c r="I79" s="66">
        <f>IF(ISNUMBER(H79),IF(ABS(E79-H79)&lt;=0.0001*MAX(1,ABS(H79)),"✓ OK","✗ CHECK"),IF(E79=H79,"✓ OK","✗ CHECK"))</f>
        <v/>
      </c>
    </row>
    <row r="80">
      <c r="B80" s="61" t="inlineStr">
        <is>
          <t>Web element height h</t>
        </is>
      </c>
      <c r="C80" s="62" t="inlineStr">
        <is>
          <t>W/C: d−2tf · HSS: d−4t</t>
        </is>
      </c>
      <c r="D80" s="62">
        <f>"= "&amp;TEXT(Input!$E$66,"0.0")&amp;" − 2×"&amp;TEXT(Input!$E$68,"0.0")&amp;""</f>
        <v/>
      </c>
      <c r="E80" s="69">
        <f>IF(Input!$E$65="HSS",Input!$E$66-4*Input!$E$69,Input!$E$66-2*Input!$E$68)</f>
        <v/>
      </c>
      <c r="F80" s="61" t="inlineStr">
        <is>
          <t>mm</t>
        </is>
      </c>
      <c r="G80" s="64" t="inlineStr">
        <is>
          <t>Cl. 11.3</t>
        </is>
      </c>
      <c r="H80" s="70">
        <f>Girt!C11</f>
        <v/>
      </c>
      <c r="I80" s="66">
        <f>IF(ISNUMBER(H80),IF(ABS(E80-H80)&lt;=0.0001*MAX(1,ABS(H80)),"✓ OK","✗ CHECK"),IF(E80=H80,"✓ OK","✗ CHECK"))</f>
        <v/>
      </c>
    </row>
    <row r="81">
      <c r="B81" s="61" t="inlineStr">
        <is>
          <t>Flange b/t</t>
        </is>
      </c>
      <c r="C81" s="62" t="inlineStr">
        <is>
          <t>bel / tf</t>
        </is>
      </c>
      <c r="D81" s="62">
        <f>"= "&amp;TEXT(E79,"0.00")&amp;" / "&amp;TEXT(Input!$E$68,"0.0")&amp;""</f>
        <v/>
      </c>
      <c r="E81" s="67">
        <f>E79/Input!$E$68</f>
        <v/>
      </c>
      <c r="F81" s="61" t="inlineStr">
        <is>
          <t>—</t>
        </is>
      </c>
      <c r="G81" s="64" t="inlineStr">
        <is>
          <t>Table 1</t>
        </is>
      </c>
      <c r="H81" s="68">
        <f>Girt!C12</f>
        <v/>
      </c>
      <c r="I81" s="66">
        <f>IF(ISNUMBER(H81),IF(ABS(E81-H81)&lt;=0.0001*MAX(1,ABS(H81)),"✓ OK","✗ CHECK"),IF(E81=H81,"✓ OK","✗ CHECK"))</f>
        <v/>
      </c>
    </row>
    <row r="82">
      <c r="B82" s="61" t="inlineStr">
        <is>
          <t>Web h/w</t>
        </is>
      </c>
      <c r="C82" s="62" t="inlineStr">
        <is>
          <t>h / w</t>
        </is>
      </c>
      <c r="D82" s="62">
        <f>"= "&amp;TEXT(E80,"0.00")&amp;" / "&amp;TEXT(Input!$E$69,"0.0")&amp;""</f>
        <v/>
      </c>
      <c r="E82" s="67">
        <f>E80/Input!$E$69</f>
        <v/>
      </c>
      <c r="F82" s="61" t="inlineStr">
        <is>
          <t>—</t>
        </is>
      </c>
      <c r="G82" s="64" t="inlineStr">
        <is>
          <t>Table 1</t>
        </is>
      </c>
      <c r="H82" s="68">
        <f>Girt!C13</f>
        <v/>
      </c>
      <c r="I82" s="66">
        <f>IF(ISNUMBER(H82),IF(ABS(E82-H82)&lt;=0.0001*MAX(1,ABS(H82)),"✓ OK","✗ CHECK"),IF(E82=H82,"✓ OK","✗ CHECK"))</f>
        <v/>
      </c>
    </row>
    <row r="83">
      <c r="B83" s="61" t="inlineStr">
        <is>
          <t>Class 1 flange limit</t>
        </is>
      </c>
      <c r="C83" s="62" t="inlineStr">
        <is>
          <t>145/√Fy (HSS 420/√Fy)</t>
        </is>
      </c>
      <c r="D83" s="62">
        <f>"= 145/√"&amp;TEXT(Input!$E$10,"0")&amp;""</f>
        <v/>
      </c>
      <c r="E83" s="67">
        <f>IF(Input!$E$65="HSS",420,145)/SQRT(Input!$E$10)</f>
        <v/>
      </c>
      <c r="F83" s="61" t="inlineStr">
        <is>
          <t>—</t>
        </is>
      </c>
      <c r="G83" s="64" t="inlineStr">
        <is>
          <t>Table 1</t>
        </is>
      </c>
      <c r="H83" s="71" t="n"/>
      <c r="I83" s="71" t="n"/>
    </row>
    <row r="84">
      <c r="B84" s="61" t="inlineStr">
        <is>
          <t>Flange class</t>
        </is>
      </c>
      <c r="C84" s="62" t="inlineStr">
        <is>
          <t>compare b/t to 145,170,200 /√Fy</t>
        </is>
      </c>
      <c r="D84" s="62" t="inlineStr"/>
      <c r="E84" s="72">
        <f>IF(E81&lt;=IF(Input!$E$65="HSS",420,145)/SQRT(Input!$E$10),1,IF(E81&lt;=IF(Input!$E$65="HSS",525,170)/SQRT(Input!$E$10),2,IF(E81&lt;=IF(Input!$E$65="HSS",670,200)/SQRT(Input!$E$10),3,4)))</f>
        <v/>
      </c>
      <c r="F84" s="61" t="inlineStr">
        <is>
          <t>—</t>
        </is>
      </c>
      <c r="G84" s="64" t="inlineStr">
        <is>
          <t>Table 1</t>
        </is>
      </c>
      <c r="H84" s="73">
        <f>Girt!C14</f>
        <v/>
      </c>
      <c r="I84" s="66">
        <f>IF(ISNUMBER(H84),IF(ABS(E84-H84)&lt;=0.0001*MAX(1,ABS(H84)),"✓ OK","✗ CHECK"),IF(E84=H84,"✓ OK","✗ CHECK"))</f>
        <v/>
      </c>
    </row>
    <row r="85">
      <c r="B85" s="61" t="inlineStr">
        <is>
          <t>Web class</t>
        </is>
      </c>
      <c r="C85" s="62" t="inlineStr">
        <is>
          <t>compare h/w to 1100,1700,1900 /√Fy</t>
        </is>
      </c>
      <c r="D85" s="62" t="inlineStr"/>
      <c r="E85" s="72">
        <f>IF(E82&lt;=1100/SQRT(Input!$E$10),1,IF(E82&lt;=1700/SQRT(Input!$E$10),2,IF(E82&lt;=1900/SQRT(Input!$E$10),3,4)))</f>
        <v/>
      </c>
      <c r="F85" s="61" t="inlineStr">
        <is>
          <t>—</t>
        </is>
      </c>
      <c r="G85" s="64" t="inlineStr">
        <is>
          <t>Table 1</t>
        </is>
      </c>
      <c r="H85" s="73">
        <f>Girt!C15</f>
        <v/>
      </c>
      <c r="I85" s="66">
        <f>IF(ISNUMBER(H85),IF(ABS(E85-H85)&lt;=0.0001*MAX(1,ABS(H85)),"✓ OK","✗ CHECK"),IF(E85=H85,"✓ OK","✗ CHECK"))</f>
        <v/>
      </c>
    </row>
    <row r="86">
      <c r="B86" s="61" t="inlineStr">
        <is>
          <t>Governing class</t>
        </is>
      </c>
      <c r="C86" s="62" t="inlineStr">
        <is>
          <t>max(flange, web)</t>
        </is>
      </c>
      <c r="D86" s="62" t="inlineStr"/>
      <c r="E86" s="72">
        <f>MAX(E84,E85)</f>
        <v/>
      </c>
      <c r="F86" s="61" t="inlineStr">
        <is>
          <t>—</t>
        </is>
      </c>
      <c r="G86" s="64" t="inlineStr">
        <is>
          <t>Cl. 11.1</t>
        </is>
      </c>
      <c r="H86" s="73">
        <f>Girt!C16</f>
        <v/>
      </c>
      <c r="I86" s="66">
        <f>IF(ISNUMBER(H86),IF(ABS(E86-H86)&lt;=0.0001*MAX(1,ABS(H86)),"✓ OK","✗ CHECK"),IF(E86=H86,"✓ OK","✗ CHECK"))</f>
        <v/>
      </c>
    </row>
    <row r="87">
      <c r="B87" s="58" t="inlineStr">
        <is>
          <t>GIRT — Step 3: Member resistances (φ = 0.90)</t>
        </is>
      </c>
      <c r="C87" s="59" t="n"/>
      <c r="D87" s="59" t="n"/>
      <c r="E87" s="59" t="n"/>
      <c r="F87" s="59" t="n"/>
      <c r="G87" s="59" t="n"/>
      <c r="H87" s="59" t="n"/>
      <c r="I87" s="59" t="n"/>
    </row>
    <row r="88">
      <c r="B88" s="60" t="inlineStr">
        <is>
          <t>Item</t>
        </is>
      </c>
      <c r="C88" s="60" t="inlineStr">
        <is>
          <t>Equation (symbolic)</t>
        </is>
      </c>
      <c r="D88" s="60" t="inlineStr">
        <is>
          <t>Substituted values</t>
        </is>
      </c>
      <c r="E88" s="60" t="inlineStr">
        <is>
          <t>Result</t>
        </is>
      </c>
      <c r="F88" s="60" t="inlineStr">
        <is>
          <t>Unit</t>
        </is>
      </c>
      <c r="G88" s="60" t="inlineStr">
        <is>
          <t>Clause</t>
        </is>
      </c>
      <c r="H88" s="60" t="inlineStr">
        <is>
          <t>Design-tab value</t>
        </is>
      </c>
      <c r="I88" s="60" t="inlineStr">
        <is>
          <t>Check</t>
        </is>
      </c>
    </row>
    <row r="89">
      <c r="B89" s="61" t="inlineStr">
        <is>
          <t>Plastic moment Mp</t>
        </is>
      </c>
      <c r="C89" s="62" t="inlineStr">
        <is>
          <t>Mp = Zx·Fy</t>
        </is>
      </c>
      <c r="D89" s="62">
        <f>"= "&amp;TEXT(Input!$E$75,"0")&amp;" × "&amp;TEXT(Input!$E$10,"0")&amp;" / 10⁶"</f>
        <v/>
      </c>
      <c r="E89" s="67">
        <f>Input!$E$75*Input!$E$10/1e6</f>
        <v/>
      </c>
      <c r="F89" s="61" t="inlineStr">
        <is>
          <t>kN·m</t>
        </is>
      </c>
      <c r="G89" s="64" t="inlineStr">
        <is>
          <t>—</t>
        </is>
      </c>
      <c r="H89" s="68">
        <f>Girt!C20/1e6</f>
        <v/>
      </c>
      <c r="I89" s="66">
        <f>IF(ISNUMBER(H89),IF(ABS(E89-H89)&lt;=0.0001*MAX(1,ABS(H89)),"✓ OK","✗ CHECK"),IF(E89=H89,"✓ OK","✗ CHECK"))</f>
        <v/>
      </c>
    </row>
    <row r="90">
      <c r="B90" s="61" t="inlineStr">
        <is>
          <t>Yield moment My</t>
        </is>
      </c>
      <c r="C90" s="62" t="inlineStr">
        <is>
          <t>My = Sx·Fy</t>
        </is>
      </c>
      <c r="D90" s="62">
        <f>"= "&amp;TEXT(Input!$E$73,"0")&amp;" × "&amp;TEXT(Input!$E$10,"0")&amp;" / 10⁶"</f>
        <v/>
      </c>
      <c r="E90" s="67">
        <f>Input!$E$73*Input!$E$10/1e6</f>
        <v/>
      </c>
      <c r="F90" s="61" t="inlineStr">
        <is>
          <t>kN·m</t>
        </is>
      </c>
      <c r="G90" s="64" t="inlineStr">
        <is>
          <t>—</t>
        </is>
      </c>
      <c r="H90" s="68">
        <f>Girt!C21/1e6</f>
        <v/>
      </c>
      <c r="I90" s="66">
        <f>IF(ISNUMBER(H90),IF(ABS(E90-H90)&lt;=0.0001*MAX(1,ABS(H90)),"✓ OK","✗ CHECK"),IF(E90=H90,"✓ OK","✗ CHECK"))</f>
        <v/>
      </c>
    </row>
    <row r="91">
      <c r="B91" s="61" t="inlineStr">
        <is>
          <t>Mrx (laterally supported)</t>
        </is>
      </c>
      <c r="C91" s="62" t="inlineStr">
        <is>
          <t>Class 1-2: φZxFy · Class 3: φSxFy</t>
        </is>
      </c>
      <c r="D91" s="62">
        <f>"= 0.9 × "&amp;TEXT(IF(E86&lt;=2,E89,E90),"0.00")&amp;""</f>
        <v/>
      </c>
      <c r="E91" s="67">
        <f>0.9*IF(E86&lt;=2,E89,E90)</f>
        <v/>
      </c>
      <c r="F91" s="61" t="inlineStr">
        <is>
          <t>kN·m</t>
        </is>
      </c>
      <c r="G91" s="64" t="inlineStr">
        <is>
          <t>Cl. 13.5(a)/(b)</t>
        </is>
      </c>
      <c r="H91" s="68">
        <f>Girt!C22/1e6</f>
        <v/>
      </c>
      <c r="I91" s="66">
        <f>IF(ISNUMBER(H91),IF(ABS(E91-H91)&lt;=0.0001*MAX(1,ABS(H91)),"✓ OK","✗ CHECK"),IF(E91=H91,"✓ OK","✗ CHECK"))</f>
        <v/>
      </c>
    </row>
    <row r="92">
      <c r="B92" s="61" t="inlineStr">
        <is>
          <t>Mu at Lu(+)</t>
        </is>
      </c>
      <c r="C92" s="62" t="inlineStr">
        <is>
          <t>Mu = (ω₂π/Lu)·√(E·Iy·G·J + (πE/Lu)²·Iy·Cw)</t>
        </is>
      </c>
      <c r="D92" s="62">
        <f>"ω₂="&amp;TEXT(Input!$E$63,"0.00")&amp;"; Lu="&amp;TEXT(Input!$E$60,"0")&amp;" mm; E·Iy·G·J="&amp;TEXT(Input!$E$12*Input!$E$72*Input!$E$13*Input!$E$77,"0.000E+00")&amp;"; (πE/Lu)²IyCw="&amp;TEXT((PI()*Input!$E$12/Input!$E$60)^2*Input!$E$72*Input!$E$78,"0.000E+00")&amp;""</f>
        <v/>
      </c>
      <c r="E92" s="67">
        <f>(Input!$E$63*PI()/Input!$E$60)*SQRT(Input!$E$12*Input!$E$72*Input!$E$13*Input!$E$77+(PI()*Input!$E$12/Input!$E$60)^2*Input!$E$72*Input!$E$78)/1e6</f>
        <v/>
      </c>
      <c r="F92" s="61" t="inlineStr">
        <is>
          <t>kN·m</t>
        </is>
      </c>
      <c r="G92" s="64" t="inlineStr">
        <is>
          <t>Cl. 13.6.1(a)</t>
        </is>
      </c>
      <c r="H92" s="68">
        <f>Girt!C23/1e6</f>
        <v/>
      </c>
      <c r="I92" s="66">
        <f>IF(ISNUMBER(H92),IF(ABS(E92-H92)&lt;=0.0001*MAX(1,ABS(H92)),"✓ OK","✗ CHECK"),IF(E92=H92,"✓ OK","✗ CHECK"))</f>
        <v/>
      </c>
    </row>
    <row r="93">
      <c r="B93" s="61" t="inlineStr">
        <is>
          <t>Mr LTB at Lu(+)</t>
        </is>
      </c>
      <c r="C93" s="62" t="inlineStr">
        <is>
          <t>Mu&gt;0.67Mp: min(1.15φMp(1−0.28Mp/Mu), φMp) else φMu</t>
        </is>
      </c>
      <c r="D93" s="62">
        <f>"Mu/Mp = "&amp;TEXT(E92/IF(E86&lt;=2,E89,E90),"0.000")&amp;" → 1.15×0.9×"&amp;TEXT(IF(E86&lt;=2,E89,E90),"0.00")&amp;"×(1−0.28×"&amp;TEXT(IF(E86&lt;=2,E89,E90),"0.00")&amp;"/"&amp;TEXT(E92,"0.00")&amp;")"</f>
        <v/>
      </c>
      <c r="E93" s="67">
        <f>IF(E92&gt;0.67*IF(E86&lt;=2,E89,E90),MIN(1.15*0.9*IF(E86&lt;=2,E89,E90)*(1-0.28*IF(E86&lt;=2,E89,E90)/E92),0.9*IF(E86&lt;=2,E89,E90)),0.9*E92)</f>
        <v/>
      </c>
      <c r="F93" s="61" t="inlineStr">
        <is>
          <t>kN·m</t>
        </is>
      </c>
      <c r="G93" s="64" t="inlineStr">
        <is>
          <t>Cl. 13.6.1(a)</t>
        </is>
      </c>
      <c r="H93" s="68">
        <f>Girt!C25/1e6</f>
        <v/>
      </c>
      <c r="I93" s="66">
        <f>IF(ISNUMBER(H93),IF(ABS(E93-H93)&lt;=0.0001*MAX(1,ABS(H93)),"✓ OK","✗ CHECK"),IF(E93=H93,"✓ OK","✗ CHECK"))</f>
        <v/>
      </c>
    </row>
    <row r="94">
      <c r="B94" s="61" t="inlineStr">
        <is>
          <t>Mrx used, load +ve</t>
        </is>
      </c>
      <c r="C94" s="62" t="inlineStr">
        <is>
          <t>braced? Mrx : Mr,LTB</t>
        </is>
      </c>
      <c r="D94" s="62">
        <f>"braced = "&amp;TEXT(Input!$E$59,"@")&amp;""</f>
        <v/>
      </c>
      <c r="E94" s="67">
        <f>IF(Input!$E$59="Yes",E91,E93)</f>
        <v/>
      </c>
      <c r="F94" s="61" t="inlineStr">
        <is>
          <t>kN·m</t>
        </is>
      </c>
      <c r="G94" s="64" t="inlineStr">
        <is>
          <t>Cl. 13.5 / 13.6</t>
        </is>
      </c>
      <c r="H94" s="68">
        <f>Girt!C27/1e6</f>
        <v/>
      </c>
      <c r="I94" s="66">
        <f>IF(ISNUMBER(H94),IF(ABS(E94-H94)&lt;=0.0001*MAX(1,ABS(H94)),"✓ OK","✗ CHECK"),IF(E94=H94,"✓ OK","✗ CHECK"))</f>
        <v/>
      </c>
    </row>
    <row r="95">
      <c r="B95" s="61" t="inlineStr">
        <is>
          <t>Mu at Lu(−)</t>
        </is>
      </c>
      <c r="C95" s="62" t="inlineStr">
        <is>
          <t>Mu = (ω₂π/Lu)·√(E·Iy·G·J + (πE/Lu)²·Iy·Cw)</t>
        </is>
      </c>
      <c r="D95" s="62">
        <f>"ω₂="&amp;TEXT(Input!$E$63,"0.00")&amp;"; Lu="&amp;TEXT(Input!$E$62,"0")&amp;" mm; E·Iy·G·J="&amp;TEXT(Input!$E$12*Input!$E$72*Input!$E$13*Input!$E$77,"0.000E+00")&amp;"; (πE/Lu)²IyCw="&amp;TEXT((PI()*Input!$E$12/Input!$E$62)^2*Input!$E$72*Input!$E$78,"0.000E+00")&amp;""</f>
        <v/>
      </c>
      <c r="E95" s="67">
        <f>(Input!$E$63*PI()/Input!$E$62)*SQRT(Input!$E$12*Input!$E$72*Input!$E$13*Input!$E$77+(PI()*Input!$E$12/Input!$E$62)^2*Input!$E$72*Input!$E$78)/1e6</f>
        <v/>
      </c>
      <c r="F95" s="61" t="inlineStr">
        <is>
          <t>kN·m</t>
        </is>
      </c>
      <c r="G95" s="64" t="inlineStr">
        <is>
          <t>Cl. 13.6.1(a)</t>
        </is>
      </c>
      <c r="H95" s="68">
        <f>Girt!C24/1e6</f>
        <v/>
      </c>
      <c r="I95" s="66">
        <f>IF(ISNUMBER(H95),IF(ABS(E95-H95)&lt;=0.0001*MAX(1,ABS(H95)),"✓ OK","✗ CHECK"),IF(E95=H95,"✓ OK","✗ CHECK"))</f>
        <v/>
      </c>
    </row>
    <row r="96">
      <c r="B96" s="61" t="inlineStr">
        <is>
          <t>Mr LTB at Lu(−)</t>
        </is>
      </c>
      <c r="C96" s="62" t="inlineStr">
        <is>
          <t>Mu&gt;0.67Mp: min(1.15φMp(1−0.28Mp/Mu), φMp) else φMu</t>
        </is>
      </c>
      <c r="D96" s="62">
        <f>"Mu/Mp = "&amp;TEXT(E95/IF(E86&lt;=2,E89,E90),"0.000")&amp;" → 1.15×0.9×"&amp;TEXT(IF(E86&lt;=2,E89,E90),"0.00")&amp;"×(1−0.28×"&amp;TEXT(IF(E86&lt;=2,E89,E90),"0.00")&amp;"/"&amp;TEXT(E95,"0.00")&amp;")"</f>
        <v/>
      </c>
      <c r="E96" s="67">
        <f>IF(E95&gt;0.67*IF(E86&lt;=2,E89,E90),MIN(1.15*0.9*IF(E86&lt;=2,E89,E90)*(1-0.28*IF(E86&lt;=2,E89,E90)/E95),0.9*IF(E86&lt;=2,E89,E90)),0.9*E95)</f>
        <v/>
      </c>
      <c r="F96" s="61" t="inlineStr">
        <is>
          <t>kN·m</t>
        </is>
      </c>
      <c r="G96" s="64" t="inlineStr">
        <is>
          <t>Cl. 13.6.1(a)</t>
        </is>
      </c>
      <c r="H96" s="68">
        <f>Girt!C26/1e6</f>
        <v/>
      </c>
      <c r="I96" s="66">
        <f>IF(ISNUMBER(H96),IF(ABS(E96-H96)&lt;=0.0001*MAX(1,ABS(H96)),"✓ OK","✗ CHECK"),IF(E96=H96,"✓ OK","✗ CHECK"))</f>
        <v/>
      </c>
    </row>
    <row r="97">
      <c r="B97" s="61" t="inlineStr">
        <is>
          <t>Mrx used, load −ve</t>
        </is>
      </c>
      <c r="C97" s="62" t="inlineStr">
        <is>
          <t>braced? Mrx : Mr,LTB</t>
        </is>
      </c>
      <c r="D97" s="62">
        <f>"braced = "&amp;TEXT(Input!$E$61,"@")&amp;""</f>
        <v/>
      </c>
      <c r="E97" s="67">
        <f>IF(Input!$E$61="Yes",E91,E96)</f>
        <v/>
      </c>
      <c r="F97" s="61" t="inlineStr">
        <is>
          <t>kN·m</t>
        </is>
      </c>
      <c r="G97" s="64" t="inlineStr">
        <is>
          <t>Cl. 13.5 / 13.6</t>
        </is>
      </c>
      <c r="H97" s="68">
        <f>Girt!C28/1e6</f>
        <v/>
      </c>
      <c r="I97" s="66">
        <f>IF(ISNUMBER(H97),IF(ABS(E97-H97)&lt;=0.0001*MAX(1,ABS(H97)),"✓ OK","✗ CHECK"),IF(E97=H97,"✓ OK","✗ CHECK"))</f>
        <v/>
      </c>
    </row>
    <row r="98">
      <c r="B98" s="61" t="inlineStr">
        <is>
          <t>Mry (weak axis)</t>
        </is>
      </c>
      <c r="C98" s="62" t="inlineStr">
        <is>
          <t>Class 1-2: φZyFy · Class 3: φSyFy</t>
        </is>
      </c>
      <c r="D98" s="62">
        <f>"= 0.9 × "&amp;TEXT(IF(E86&lt;=2,Input!$E$76,Input!$E$74),"0")&amp;" × "&amp;TEXT(Input!$E$10,"0")&amp;" / 10⁶"</f>
        <v/>
      </c>
      <c r="E98" s="67">
        <f>0.9*IF(E86&lt;=2,Input!$E$76,Input!$E$74)*Input!$E$10/1e6</f>
        <v/>
      </c>
      <c r="F98" s="61" t="inlineStr">
        <is>
          <t>kN·m</t>
        </is>
      </c>
      <c r="G98" s="64" t="inlineStr">
        <is>
          <t>Cl. 13.5</t>
        </is>
      </c>
      <c r="H98" s="68">
        <f>Girt!C29/1e6</f>
        <v/>
      </c>
      <c r="I98" s="66">
        <f>IF(ISNUMBER(H98),IF(ABS(E98-H98)&lt;=0.0001*MAX(1,ABS(H98)),"✓ OK","✗ CHECK"),IF(E98=H98,"✓ OK","✗ CHECK"))</f>
        <v/>
      </c>
    </row>
    <row r="99">
      <c r="B99" s="61" t="inlineStr">
        <is>
          <t>Shear area Aw</t>
        </is>
      </c>
      <c r="C99" s="62" t="inlineStr">
        <is>
          <t>W/C: d·w · HSS: 2(d−4t)t</t>
        </is>
      </c>
      <c r="D99" s="62">
        <f>"= "&amp;TEXT(Input!$E$66,"0.0")&amp;" × "&amp;TEXT(Input!$E$69,"0.0")&amp;""</f>
        <v/>
      </c>
      <c r="E99" s="63">
        <f>IF(Input!$E$65="HSS",2*(Input!$E$66-4*Input!$E$69)*Input!$E$69,Input!$E$66*Input!$E$69)</f>
        <v/>
      </c>
      <c r="F99" s="61" t="inlineStr">
        <is>
          <t>mm²</t>
        </is>
      </c>
      <c r="G99" s="64" t="inlineStr">
        <is>
          <t>Cl. 13.4.1</t>
        </is>
      </c>
      <c r="H99" s="65">
        <f>Girt!C30</f>
        <v/>
      </c>
      <c r="I99" s="66">
        <f>IF(ISNUMBER(H99),IF(ABS(E99-H99)&lt;=0.0001*MAX(1,ABS(H99)),"✓ OK","✗ CHECK"),IF(E99=H99,"✓ OK","✗ CHECK"))</f>
        <v/>
      </c>
    </row>
    <row r="100">
      <c r="B100" s="61" t="inlineStr">
        <is>
          <t>Shear stress Fs (kv=5.34)</t>
        </is>
      </c>
      <c r="C100" s="62" t="inlineStr">
        <is>
          <t>h/w ≤ 1014√(kv/Fy) → 0.66Fy</t>
        </is>
      </c>
      <c r="D100" s="62">
        <f>"h/w = "&amp;TEXT(E82,"0.00")&amp;" vs limit "&amp;TEXT(1014*SQRT(5.34/Input!$E$10),"0.0")&amp;""</f>
        <v/>
      </c>
      <c r="E100" s="69">
        <f>IF(E82&lt;=1014*SQRT(5.34/Input!$E$10),0.66*Input!$E$10,IF(E82&lt;=1435*SQRT(5.34/Input!$E$10),670*SQRT(5.34*Input!$E$10)/E82,961200*5.34/E82^2))</f>
        <v/>
      </c>
      <c r="F100" s="61" t="inlineStr">
        <is>
          <t>MPa</t>
        </is>
      </c>
      <c r="G100" s="64" t="inlineStr">
        <is>
          <t>Cl. 13.4.1.1</t>
        </is>
      </c>
      <c r="H100" s="70">
        <f>Girt!C31</f>
        <v/>
      </c>
      <c r="I100" s="66">
        <f>IF(ISNUMBER(H100),IF(ABS(E100-H100)&lt;=0.0001*MAX(1,ABS(H100)),"✓ OK","✗ CHECK"),IF(E100=H100,"✓ OK","✗ CHECK"))</f>
        <v/>
      </c>
    </row>
    <row r="101">
      <c r="B101" s="61" t="inlineStr">
        <is>
          <t>Shear resistance Vr</t>
        </is>
      </c>
      <c r="C101" s="62" t="inlineStr">
        <is>
          <t>Vr = φ·Aw·Fs</t>
        </is>
      </c>
      <c r="D101" s="62">
        <f>"= 0.9 × "&amp;TEXT(E99,"0")&amp;" × "&amp;TEXT(E100,"0.0")&amp;" / 10³"</f>
        <v/>
      </c>
      <c r="E101" s="67">
        <f>0.9*E99*E100/1000</f>
        <v/>
      </c>
      <c r="F101" s="61" t="inlineStr">
        <is>
          <t>kN</t>
        </is>
      </c>
      <c r="G101" s="64" t="inlineStr">
        <is>
          <t>Cl. 13.4.1</t>
        </is>
      </c>
      <c r="H101" s="68">
        <f>Girt!C32/1000</f>
        <v/>
      </c>
      <c r="I101" s="66">
        <f>IF(ISNUMBER(H101),IF(ABS(E101-H101)&lt;=0.0001*MAX(1,ABS(H101)),"✓ OK","✗ CHECK"),IF(E101=H101,"✓ OK","✗ CHECK"))</f>
        <v/>
      </c>
    </row>
    <row r="102">
      <c r="B102" s="61" t="inlineStr">
        <is>
          <t>Axial Cr (n = 1.34)</t>
        </is>
      </c>
      <c r="C102" s="62" t="inlineStr">
        <is>
          <t>Cr = φAFy(1+λ^2n)^(−1/n)</t>
        </is>
      </c>
      <c r="D102" s="62">
        <f>"KL/r = "&amp;TEXT(MAX(E73/E75,E74/E76),"0.0")&amp;""</f>
        <v/>
      </c>
      <c r="E102" s="67">
        <f>0.9*Input!$E$70*Input!$E$10*(1+(SQRT(Input!$E$10/(PI()^2*Input!$E$12/MAX(E73/E75,E74/E76)^2)))^(2*1.34))^(-1/1.34)/1000</f>
        <v/>
      </c>
      <c r="F102" s="61" t="inlineStr">
        <is>
          <t>kN</t>
        </is>
      </c>
      <c r="G102" s="64" t="inlineStr">
        <is>
          <t>Cl. 13.3.1</t>
        </is>
      </c>
      <c r="H102" s="68">
        <f>Girt!C33/1000</f>
        <v/>
      </c>
      <c r="I102" s="66">
        <f>IF(ISNUMBER(H102),IF(ABS(E102-H102)&lt;=0.0001*MAX(1,ABS(H102)),"✓ OK","✗ CHECK"),IF(E102=H102,"✓ OK","✗ CHECK"))</f>
        <v/>
      </c>
    </row>
    <row r="103">
      <c r="B103" s="58" t="inlineStr">
        <is>
          <t>GIRT — Step 4: Unfactored line loads (N/mm), self-weight A×77e-6 included in D</t>
        </is>
      </c>
      <c r="C103" s="59" t="n"/>
      <c r="D103" s="59" t="n"/>
      <c r="E103" s="59" t="n"/>
      <c r="F103" s="59" t="n"/>
      <c r="G103" s="59" t="n"/>
      <c r="H103" s="59" t="n"/>
      <c r="I103" s="59" t="n"/>
    </row>
    <row r="104">
      <c r="B104" s="60" t="inlineStr">
        <is>
          <t>Item</t>
        </is>
      </c>
      <c r="C104" s="60" t="inlineStr">
        <is>
          <t>Equation (symbolic)</t>
        </is>
      </c>
      <c r="D104" s="60" t="inlineStr">
        <is>
          <t>Substituted values</t>
        </is>
      </c>
      <c r="E104" s="60" t="inlineStr">
        <is>
          <t>Result</t>
        </is>
      </c>
      <c r="F104" s="60" t="inlineStr">
        <is>
          <t>Unit</t>
        </is>
      </c>
      <c r="G104" s="60" t="inlineStr">
        <is>
          <t>Clause</t>
        </is>
      </c>
      <c r="H104" s="60" t="inlineStr">
        <is>
          <t>Design-tab value</t>
        </is>
      </c>
      <c r="I104" s="60" t="inlineStr">
        <is>
          <t>Check</t>
        </is>
      </c>
    </row>
    <row r="105">
      <c r="B105" s="61" t="inlineStr">
        <is>
          <t>D: wx (strong)</t>
        </is>
      </c>
      <c r="C105" s="62" t="inlineStr">
        <is>
          <t>wind × s</t>
        </is>
      </c>
      <c r="D105" s="62" t="inlineStr"/>
      <c r="E105" s="74">
        <f>0</f>
        <v/>
      </c>
      <c r="F105" s="61" t="inlineStr">
        <is>
          <t>N/mm</t>
        </is>
      </c>
      <c r="G105" s="64" t="inlineStr">
        <is>
          <t>Cl. 4.1.3 NBCC</t>
        </is>
      </c>
      <c r="H105" s="75">
        <f>Girt!C38</f>
        <v/>
      </c>
      <c r="I105" s="66">
        <f>IF(ISNUMBER(H105),IF(ABS(E105-H105)&lt;=0.0001*MAX(1,ABS(H105)),"✓ OK","✗ CHECK"),IF(E105=H105,"✓ OK","✗ CHECK"))</f>
        <v/>
      </c>
    </row>
    <row r="106">
      <c r="B106" s="61" t="inlineStr">
        <is>
          <t>D: wy (weak)</t>
        </is>
      </c>
      <c r="C106" s="62" t="inlineStr">
        <is>
          <t>Dc·s + self-wt</t>
        </is>
      </c>
      <c r="D106" s="62" t="inlineStr"/>
      <c r="E106" s="74">
        <f>(Input!$E$82*Input!$E$57+Input!$E$70*Input!$E$14*0.000001)</f>
        <v/>
      </c>
      <c r="F106" s="61" t="inlineStr">
        <is>
          <t>N/mm</t>
        </is>
      </c>
      <c r="G106" s="64" t="inlineStr">
        <is>
          <t>—</t>
        </is>
      </c>
      <c r="H106" s="75">
        <f>Girt!D38</f>
        <v/>
      </c>
      <c r="I106" s="66">
        <f>IF(ISNUMBER(H106),IF(ABS(E106-H106)&lt;=0.0001*MAX(1,ABS(H106)),"✓ OK","✗ CHECK"),IF(E106=H106,"✓ OK","✗ CHECK"))</f>
        <v/>
      </c>
    </row>
    <row r="107">
      <c r="B107" s="61" t="inlineStr">
        <is>
          <t>S: wx (strong)</t>
        </is>
      </c>
      <c r="C107" s="62" t="inlineStr">
        <is>
          <t>wind × s</t>
        </is>
      </c>
      <c r="D107" s="62" t="inlineStr"/>
      <c r="E107" s="74">
        <f>0</f>
        <v/>
      </c>
      <c r="F107" s="61" t="inlineStr">
        <is>
          <t>N/mm</t>
        </is>
      </c>
      <c r="G107" s="64" t="inlineStr">
        <is>
          <t>Cl. 4.1.3 NBCC</t>
        </is>
      </c>
      <c r="H107" s="75">
        <f>Girt!C39</f>
        <v/>
      </c>
      <c r="I107" s="66">
        <f>IF(ISNUMBER(H107),IF(ABS(E107-H107)&lt;=0.0001*MAX(1,ABS(H107)),"✓ OK","✗ CHECK"),IF(E107=H107,"✓ OK","✗ CHECK"))</f>
        <v/>
      </c>
    </row>
    <row r="108">
      <c r="B108" s="61" t="inlineStr">
        <is>
          <t>S: wy (weak)</t>
        </is>
      </c>
      <c r="C108" s="62" t="inlineStr">
        <is>
          <t>Dc·s + self-wt</t>
        </is>
      </c>
      <c r="D108" s="62" t="inlineStr"/>
      <c r="E108" s="74">
        <f>0</f>
        <v/>
      </c>
      <c r="F108" s="61" t="inlineStr">
        <is>
          <t>N/mm</t>
        </is>
      </c>
      <c r="G108" s="64" t="inlineStr">
        <is>
          <t>—</t>
        </is>
      </c>
      <c r="H108" s="75">
        <f>Girt!D39</f>
        <v/>
      </c>
      <c r="I108" s="66">
        <f>IF(ISNUMBER(H108),IF(ABS(E108-H108)&lt;=0.0001*MAX(1,ABS(H108)),"✓ OK","✗ CHECK"),IF(E108=H108,"✓ OK","✗ CHECK"))</f>
        <v/>
      </c>
    </row>
    <row r="109">
      <c r="B109" s="61" t="inlineStr">
        <is>
          <t>Lr: wx (strong)</t>
        </is>
      </c>
      <c r="C109" s="62" t="inlineStr">
        <is>
          <t>wind × s</t>
        </is>
      </c>
      <c r="D109" s="62" t="inlineStr"/>
      <c r="E109" s="74">
        <f>0</f>
        <v/>
      </c>
      <c r="F109" s="61" t="inlineStr">
        <is>
          <t>N/mm</t>
        </is>
      </c>
      <c r="G109" s="64" t="inlineStr">
        <is>
          <t>Cl. 4.1.3 NBCC</t>
        </is>
      </c>
      <c r="H109" s="75">
        <f>Girt!C40</f>
        <v/>
      </c>
      <c r="I109" s="66">
        <f>IF(ISNUMBER(H109),IF(ABS(E109-H109)&lt;=0.0001*MAX(1,ABS(H109)),"✓ OK","✗ CHECK"),IF(E109=H109,"✓ OK","✗ CHECK"))</f>
        <v/>
      </c>
    </row>
    <row r="110">
      <c r="B110" s="61" t="inlineStr">
        <is>
          <t>Lr: wy (weak)</t>
        </is>
      </c>
      <c r="C110" s="62" t="inlineStr">
        <is>
          <t>Dc·s + self-wt</t>
        </is>
      </c>
      <c r="D110" s="62" t="inlineStr"/>
      <c r="E110" s="74">
        <f>0</f>
        <v/>
      </c>
      <c r="F110" s="61" t="inlineStr">
        <is>
          <t>N/mm</t>
        </is>
      </c>
      <c r="G110" s="64" t="inlineStr">
        <is>
          <t>—</t>
        </is>
      </c>
      <c r="H110" s="75">
        <f>Girt!D40</f>
        <v/>
      </c>
      <c r="I110" s="66">
        <f>IF(ISNUMBER(H110),IF(ABS(E110-H110)&lt;=0.0001*MAX(1,ABS(H110)),"✓ OK","✗ CHECK"),IF(E110=H110,"✓ OK","✗ CHECK"))</f>
        <v/>
      </c>
    </row>
    <row r="111">
      <c r="B111" s="61" t="inlineStr">
        <is>
          <t>Wp: wx (strong)</t>
        </is>
      </c>
      <c r="C111" s="62" t="inlineStr">
        <is>
          <t>wind × s</t>
        </is>
      </c>
      <c r="D111" s="62" t="inlineStr"/>
      <c r="E111" s="74">
        <f>Input!$E$80*Input!$E$57</f>
        <v/>
      </c>
      <c r="F111" s="61" t="inlineStr">
        <is>
          <t>N/mm</t>
        </is>
      </c>
      <c r="G111" s="64" t="inlineStr">
        <is>
          <t>Cl. 4.1.3 NBCC</t>
        </is>
      </c>
      <c r="H111" s="75">
        <f>Girt!C41</f>
        <v/>
      </c>
      <c r="I111" s="66">
        <f>IF(ISNUMBER(H111),IF(ABS(E111-H111)&lt;=0.0001*MAX(1,ABS(H111)),"✓ OK","✗ CHECK"),IF(E111=H111,"✓ OK","✗ CHECK"))</f>
        <v/>
      </c>
    </row>
    <row r="112">
      <c r="B112" s="61" t="inlineStr">
        <is>
          <t>Wp: wy (weak)</t>
        </is>
      </c>
      <c r="C112" s="62" t="inlineStr">
        <is>
          <t>Dc·s + self-wt</t>
        </is>
      </c>
      <c r="D112" s="62" t="inlineStr"/>
      <c r="E112" s="74">
        <f>0</f>
        <v/>
      </c>
      <c r="F112" s="61" t="inlineStr">
        <is>
          <t>N/mm</t>
        </is>
      </c>
      <c r="G112" s="64" t="inlineStr">
        <is>
          <t>—</t>
        </is>
      </c>
      <c r="H112" s="75">
        <f>Girt!D41</f>
        <v/>
      </c>
      <c r="I112" s="66">
        <f>IF(ISNUMBER(H112),IF(ABS(E112-H112)&lt;=0.0001*MAX(1,ABS(H112)),"✓ OK","✗ CHECK"),IF(E112=H112,"✓ OK","✗ CHECK"))</f>
        <v/>
      </c>
    </row>
    <row r="113">
      <c r="B113" s="61" t="inlineStr">
        <is>
          <t>Wu: wx (strong)</t>
        </is>
      </c>
      <c r="C113" s="62" t="inlineStr">
        <is>
          <t>wind × s</t>
        </is>
      </c>
      <c r="D113" s="62" t="inlineStr"/>
      <c r="E113" s="74">
        <f>-Input!$E$81*Input!$E$57</f>
        <v/>
      </c>
      <c r="F113" s="61" t="inlineStr">
        <is>
          <t>N/mm</t>
        </is>
      </c>
      <c r="G113" s="64" t="inlineStr">
        <is>
          <t>Cl. 4.1.3 NBCC</t>
        </is>
      </c>
      <c r="H113" s="75">
        <f>Girt!C42</f>
        <v/>
      </c>
      <c r="I113" s="66">
        <f>IF(ISNUMBER(H113),IF(ABS(E113-H113)&lt;=0.0001*MAX(1,ABS(H113)),"✓ OK","✗ CHECK"),IF(E113=H113,"✓ OK","✗ CHECK"))</f>
        <v/>
      </c>
    </row>
    <row r="114">
      <c r="B114" s="61" t="inlineStr">
        <is>
          <t>Wu: wy (weak)</t>
        </is>
      </c>
      <c r="C114" s="62" t="inlineStr">
        <is>
          <t>Dc·s + self-wt</t>
        </is>
      </c>
      <c r="D114" s="62" t="inlineStr"/>
      <c r="E114" s="74">
        <f>0</f>
        <v/>
      </c>
      <c r="F114" s="61" t="inlineStr">
        <is>
          <t>N/mm</t>
        </is>
      </c>
      <c r="G114" s="64" t="inlineStr">
        <is>
          <t>—</t>
        </is>
      </c>
      <c r="H114" s="75">
        <f>Girt!D42</f>
        <v/>
      </c>
      <c r="I114" s="66">
        <f>IF(ISNUMBER(H114),IF(ABS(E114-H114)&lt;=0.0001*MAX(1,ABS(H114)),"✓ OK","✗ CHECK"),IF(E114=H114,"✓ OK","✗ CHECK"))</f>
        <v/>
      </c>
    </row>
    <row r="115">
      <c r="B115" s="58" t="inlineStr">
        <is>
          <t>GIRT — Step 5: ULS combinations (NBCC 2020) — governing check</t>
        </is>
      </c>
      <c r="C115" s="59" t="n"/>
      <c r="D115" s="59" t="n"/>
      <c r="E115" s="59" t="n"/>
      <c r="F115" s="59" t="n"/>
      <c r="G115" s="59" t="n"/>
      <c r="H115" s="59" t="n"/>
      <c r="I115" s="59" t="n"/>
    </row>
    <row r="116">
      <c r="B116" s="60" t="inlineStr">
        <is>
          <t>Item</t>
        </is>
      </c>
      <c r="C116" s="60" t="inlineStr">
        <is>
          <t>Equation (symbolic)</t>
        </is>
      </c>
      <c r="D116" s="60" t="inlineStr">
        <is>
          <t>Substituted values</t>
        </is>
      </c>
      <c r="E116" s="60" t="inlineStr">
        <is>
          <t>Result</t>
        </is>
      </c>
      <c r="F116" s="60" t="inlineStr">
        <is>
          <t>Unit</t>
        </is>
      </c>
      <c r="G116" s="60" t="inlineStr">
        <is>
          <t>Clause</t>
        </is>
      </c>
      <c r="H116" s="60" t="inlineStr">
        <is>
          <t>Design-tab value</t>
        </is>
      </c>
      <c r="I116" s="60" t="inlineStr">
        <is>
          <t>Check</t>
        </is>
      </c>
    </row>
    <row r="117">
      <c r="B117" s="61" t="inlineStr">
        <is>
          <t>1.4D: Ux+Uy</t>
        </is>
      </c>
      <c r="C117" s="62" t="inlineStr">
        <is>
          <t>|Mfx|/Mrx± + |Mfy|/Mry</t>
        </is>
      </c>
      <c r="D117" s="62">
        <f>"Mfx="&amp;TEXT(((1.4*E105+0*E107+0*E109+0*E111+0*E113)*E73^2/8/1e6),"0.00")&amp;" kN·m; Mfy="&amp;TEXT(((1.4*E106+0*E108+0*E110+0*E112+0*E114)*E74^2/8/1e6),"0.000")&amp;" kN·m; Vf/Vr="&amp;TEXT(ABS(1.4*E105+0*E107+0*E109+0*E111+0*E113)*E73/2/1000/E101,"0.0000")&amp;""</f>
        <v/>
      </c>
      <c r="E117" s="74">
        <f>ABS(((1.4*E105+0*E107+0*E109+0*E111+0*E113)*E73^2/8/1e6))/IF(((1.4*E105+0*E107+0*E109+0*E111+0*E113)*E73^2/8/1e6)&gt;=0,E94,E97)+ABS(((1.4*E106+0*E108+0*E110+0*E112+0*E114)*E74^2/8/1e6))/E98</f>
        <v/>
      </c>
      <c r="F117" s="61" t="inlineStr">
        <is>
          <t>—</t>
        </is>
      </c>
      <c r="G117" s="64" t="inlineStr">
        <is>
          <t>Cl. 13.5(e)</t>
        </is>
      </c>
      <c r="H117" s="75">
        <f>Girt!J46</f>
        <v/>
      </c>
      <c r="I117" s="66">
        <f>IF(ISNUMBER(H117),IF(ABS(E117-H117)&lt;=0.0001*MAX(1,ABS(H117)),"✓ OK","✗ CHECK"),IF(E117=H117,"✓ OK","✗ CHECK"))</f>
        <v/>
      </c>
    </row>
    <row r="118">
      <c r="B118" s="61" t="inlineStr">
        <is>
          <t>1.25D+1.5S+0.5Lr: Ux+Uy</t>
        </is>
      </c>
      <c r="C118" s="62" t="inlineStr">
        <is>
          <t>|Mfx|/Mrx± + |Mfy|/Mry</t>
        </is>
      </c>
      <c r="D118" s="62">
        <f>"Mfx="&amp;TEXT(((1.25*E105+1.5*E107+0.5*E109+0*E111+0*E113)*E73^2/8/1e6),"0.00")&amp;" kN·m; Mfy="&amp;TEXT(((1.25*E106+1.5*E108+0.5*E110+0*E112+0*E114)*E74^2/8/1e6),"0.000")&amp;" kN·m; Vf/Vr="&amp;TEXT(ABS(1.25*E105+1.5*E107+0.5*E109+0*E111+0*E113)*E73/2/1000/E101,"0.0000")&amp;""</f>
        <v/>
      </c>
      <c r="E118" s="74">
        <f>ABS(((1.25*E105+1.5*E107+0.5*E109+0*E111+0*E113)*E73^2/8/1e6))/IF(((1.25*E105+1.5*E107+0.5*E109+0*E111+0*E113)*E73^2/8/1e6)&gt;=0,E94,E97)+ABS(((1.25*E106+1.5*E108+0.5*E110+0*E112+0*E114)*E74^2/8/1e6))/E98</f>
        <v/>
      </c>
      <c r="F118" s="61" t="inlineStr">
        <is>
          <t>—</t>
        </is>
      </c>
      <c r="G118" s="64" t="inlineStr">
        <is>
          <t>Cl. 13.5(e)</t>
        </is>
      </c>
      <c r="H118" s="75">
        <f>Girt!J47</f>
        <v/>
      </c>
      <c r="I118" s="66">
        <f>IF(ISNUMBER(H118),IF(ABS(E118-H118)&lt;=0.0001*MAX(1,ABS(H118)),"✓ OK","✗ CHECK"),IF(E118=H118,"✓ OK","✗ CHECK"))</f>
        <v/>
      </c>
    </row>
    <row r="119">
      <c r="B119" s="61" t="inlineStr">
        <is>
          <t>1.25D+1.5Lr+0.5S: Ux+Uy</t>
        </is>
      </c>
      <c r="C119" s="62" t="inlineStr">
        <is>
          <t>|Mfx|/Mrx± + |Mfy|/Mry</t>
        </is>
      </c>
      <c r="D119" s="62">
        <f>"Mfx="&amp;TEXT(((1.25*E105+0.5*E107+1.5*E109+0*E111+0*E113)*E73^2/8/1e6),"0.00")&amp;" kN·m; Mfy="&amp;TEXT(((1.25*E106+0.5*E108+1.5*E110+0*E112+0*E114)*E74^2/8/1e6),"0.000")&amp;" kN·m; Vf/Vr="&amp;TEXT(ABS(1.25*E105+0.5*E107+1.5*E109+0*E111+0*E113)*E73/2/1000/E101,"0.0000")&amp;""</f>
        <v/>
      </c>
      <c r="E119" s="74">
        <f>ABS(((1.25*E105+0.5*E107+1.5*E109+0*E111+0*E113)*E73^2/8/1e6))/IF(((1.25*E105+0.5*E107+1.5*E109+0*E111+0*E113)*E73^2/8/1e6)&gt;=0,E94,E97)+ABS(((1.25*E106+0.5*E108+1.5*E110+0*E112+0*E114)*E74^2/8/1e6))/E98</f>
        <v/>
      </c>
      <c r="F119" s="61" t="inlineStr">
        <is>
          <t>—</t>
        </is>
      </c>
      <c r="G119" s="64" t="inlineStr">
        <is>
          <t>Cl. 13.5(e)</t>
        </is>
      </c>
      <c r="H119" s="75">
        <f>Girt!J48</f>
        <v/>
      </c>
      <c r="I119" s="66">
        <f>IF(ISNUMBER(H119),IF(ABS(E119-H119)&lt;=0.0001*MAX(1,ABS(H119)),"✓ OK","✗ CHECK"),IF(E119=H119,"✓ OK","✗ CHECK"))</f>
        <v/>
      </c>
    </row>
    <row r="120">
      <c r="B120" s="61" t="inlineStr">
        <is>
          <t>1.25D+1.4Wp+0.5S: Ux+Uy</t>
        </is>
      </c>
      <c r="C120" s="62" t="inlineStr">
        <is>
          <t>|Mfx|/Mrx± + |Mfy|/Mry</t>
        </is>
      </c>
      <c r="D120" s="62">
        <f>"Mfx="&amp;TEXT(((1.25*E105+0.5*E107+0*E109+1.4*E111+0*E113)*E73^2/8/1e6),"0.00")&amp;" kN·m; Mfy="&amp;TEXT(((1.25*E106+0.5*E108+0*E110+1.4*E112+0*E114)*E74^2/8/1e6),"0.000")&amp;" kN·m; Vf/Vr="&amp;TEXT(ABS(1.25*E105+0.5*E107+0*E109+1.4*E111+0*E113)*E73/2/1000/E101,"0.0000")&amp;""</f>
        <v/>
      </c>
      <c r="E120" s="74">
        <f>ABS(((1.25*E105+0.5*E107+0*E109+1.4*E111+0*E113)*E73^2/8/1e6))/IF(((1.25*E105+0.5*E107+0*E109+1.4*E111+0*E113)*E73^2/8/1e6)&gt;=0,E94,E97)+ABS(((1.25*E106+0.5*E108+0*E110+1.4*E112+0*E114)*E74^2/8/1e6))/E98</f>
        <v/>
      </c>
      <c r="F120" s="61" t="inlineStr">
        <is>
          <t>—</t>
        </is>
      </c>
      <c r="G120" s="64" t="inlineStr">
        <is>
          <t>Cl. 13.5(e)</t>
        </is>
      </c>
      <c r="H120" s="75">
        <f>Girt!J49</f>
        <v/>
      </c>
      <c r="I120" s="66">
        <f>IF(ISNUMBER(H120),IF(ABS(E120-H120)&lt;=0.0001*MAX(1,ABS(H120)),"✓ OK","✗ CHECK"),IF(E120=H120,"✓ OK","✗ CHECK"))</f>
        <v/>
      </c>
    </row>
    <row r="121">
      <c r="B121" s="61" t="inlineStr">
        <is>
          <t>1.25D+1.5S+0.4Wp: Ux+Uy</t>
        </is>
      </c>
      <c r="C121" s="62" t="inlineStr">
        <is>
          <t>|Mfx|/Mrx± + |Mfy|/Mry</t>
        </is>
      </c>
      <c r="D121" s="62">
        <f>"Mfx="&amp;TEXT(((1.25*E105+1.5*E107+0*E109+0.4*E111+0*E113)*E73^2/8/1e6),"0.00")&amp;" kN·m; Mfy="&amp;TEXT(((1.25*E106+1.5*E108+0*E110+0.4*E112+0*E114)*E74^2/8/1e6),"0.000")&amp;" kN·m; Vf/Vr="&amp;TEXT(ABS(1.25*E105+1.5*E107+0*E109+0.4*E111+0*E113)*E73/2/1000/E101,"0.0000")&amp;""</f>
        <v/>
      </c>
      <c r="E121" s="74">
        <f>ABS(((1.25*E105+1.5*E107+0*E109+0.4*E111+0*E113)*E73^2/8/1e6))/IF(((1.25*E105+1.5*E107+0*E109+0.4*E111+0*E113)*E73^2/8/1e6)&gt;=0,E94,E97)+ABS(((1.25*E106+1.5*E108+0*E110+0.4*E112+0*E114)*E74^2/8/1e6))/E98</f>
        <v/>
      </c>
      <c r="F121" s="61" t="inlineStr">
        <is>
          <t>—</t>
        </is>
      </c>
      <c r="G121" s="64" t="inlineStr">
        <is>
          <t>Cl. 13.5(e)</t>
        </is>
      </c>
      <c r="H121" s="75">
        <f>Girt!J50</f>
        <v/>
      </c>
      <c r="I121" s="66">
        <f>IF(ISNUMBER(H121),IF(ABS(E121-H121)&lt;=0.0001*MAX(1,ABS(H121)),"✓ OK","✗ CHECK"),IF(E121=H121,"✓ OK","✗ CHECK"))</f>
        <v/>
      </c>
    </row>
    <row r="122">
      <c r="B122" s="61" t="inlineStr">
        <is>
          <t>1.25D+1.4Wp: Ux+Uy</t>
        </is>
      </c>
      <c r="C122" s="62" t="inlineStr">
        <is>
          <t>|Mfx|/Mrx± + |Mfy|/Mry</t>
        </is>
      </c>
      <c r="D122" s="62">
        <f>"Mfx="&amp;TEXT(((1.25*E105+0*E107+0*E109+1.4*E111+0*E113)*E73^2/8/1e6),"0.00")&amp;" kN·m; Mfy="&amp;TEXT(((1.25*E106+0*E108+0*E110+1.4*E112+0*E114)*E74^2/8/1e6),"0.000")&amp;" kN·m; Vf/Vr="&amp;TEXT(ABS(1.25*E105+0*E107+0*E109+1.4*E111+0*E113)*E73/2/1000/E101,"0.0000")&amp;""</f>
        <v/>
      </c>
      <c r="E122" s="74">
        <f>ABS(((1.25*E105+0*E107+0*E109+1.4*E111+0*E113)*E73^2/8/1e6))/IF(((1.25*E105+0*E107+0*E109+1.4*E111+0*E113)*E73^2/8/1e6)&gt;=0,E94,E97)+ABS(((1.25*E106+0*E108+0*E110+1.4*E112+0*E114)*E74^2/8/1e6))/E98</f>
        <v/>
      </c>
      <c r="F122" s="61" t="inlineStr">
        <is>
          <t>—</t>
        </is>
      </c>
      <c r="G122" s="64" t="inlineStr">
        <is>
          <t>Cl. 13.5(e)</t>
        </is>
      </c>
      <c r="H122" s="75">
        <f>Girt!J51</f>
        <v/>
      </c>
      <c r="I122" s="66">
        <f>IF(ISNUMBER(H122),IF(ABS(E122-H122)&lt;=0.0001*MAX(1,ABS(H122)),"✓ OK","✗ CHECK"),IF(E122=H122,"✓ OK","✗ CHECK"))</f>
        <v/>
      </c>
    </row>
    <row r="123">
      <c r="B123" s="61" t="inlineStr">
        <is>
          <t>1.25D+1.4Wu: Ux+Uy</t>
        </is>
      </c>
      <c r="C123" s="62" t="inlineStr">
        <is>
          <t>|Mfx|/Mrx± + |Mfy|/Mry</t>
        </is>
      </c>
      <c r="D123" s="62">
        <f>"Mfx="&amp;TEXT(((1.25*E105+0*E107+0*E109+0*E111+1.4*E113)*E73^2/8/1e6),"0.00")&amp;" kN·m; Mfy="&amp;TEXT(((1.25*E106+0*E108+0*E110+0*E112+1.4*E114)*E74^2/8/1e6),"0.000")&amp;" kN·m; Vf/Vr="&amp;TEXT(ABS(1.25*E105+0*E107+0*E109+0*E111+1.4*E113)*E73/2/1000/E101,"0.0000")&amp;""</f>
        <v/>
      </c>
      <c r="E123" s="74">
        <f>ABS(((1.25*E105+0*E107+0*E109+0*E111+1.4*E113)*E73^2/8/1e6))/IF(((1.25*E105+0*E107+0*E109+0*E111+1.4*E113)*E73^2/8/1e6)&gt;=0,E94,E97)+ABS(((1.25*E106+0*E108+0*E110+0*E112+1.4*E114)*E74^2/8/1e6))/E98</f>
        <v/>
      </c>
      <c r="F123" s="61" t="inlineStr">
        <is>
          <t>—</t>
        </is>
      </c>
      <c r="G123" s="64" t="inlineStr">
        <is>
          <t>Cl. 13.5(e)</t>
        </is>
      </c>
      <c r="H123" s="75">
        <f>Girt!J52</f>
        <v/>
      </c>
      <c r="I123" s="66">
        <f>IF(ISNUMBER(H123),IF(ABS(E123-H123)&lt;=0.0001*MAX(1,ABS(H123)),"✓ OK","✗ CHECK"),IF(E123=H123,"✓ OK","✗ CHECK"))</f>
        <v/>
      </c>
    </row>
    <row r="124">
      <c r="B124" s="61" t="inlineStr">
        <is>
          <t>0.9D+1.4Wu: Ux+Uy</t>
        </is>
      </c>
      <c r="C124" s="62" t="inlineStr">
        <is>
          <t>|Mfx|/Mrx± + |Mfy|/Mry</t>
        </is>
      </c>
      <c r="D124" s="62">
        <f>"Mfx="&amp;TEXT(((0.9*E105+0*E107+0*E109+0*E111+1.4*E113)*E73^2/8/1e6),"0.00")&amp;" kN·m; Mfy="&amp;TEXT(((0.9*E106+0*E108+0*E110+0*E112+1.4*E114)*E74^2/8/1e6),"0.000")&amp;" kN·m; Vf/Vr="&amp;TEXT(ABS(0.9*E105+0*E107+0*E109+0*E111+1.4*E113)*E73/2/1000/E101,"0.0000")&amp;""</f>
        <v/>
      </c>
      <c r="E124" s="74">
        <f>ABS(((0.9*E105+0*E107+0*E109+0*E111+1.4*E113)*E73^2/8/1e6))/IF(((0.9*E105+0*E107+0*E109+0*E111+1.4*E113)*E73^2/8/1e6)&gt;=0,E94,E97)+ABS(((0.9*E106+0*E108+0*E110+0*E112+1.4*E114)*E74^2/8/1e6))/E98</f>
        <v/>
      </c>
      <c r="F124" s="61" t="inlineStr">
        <is>
          <t>—</t>
        </is>
      </c>
      <c r="G124" s="64" t="inlineStr">
        <is>
          <t>Cl. 13.5(e)</t>
        </is>
      </c>
      <c r="H124" s="75">
        <f>Girt!J53</f>
        <v/>
      </c>
      <c r="I124" s="66">
        <f>IF(ISNUMBER(H124),IF(ABS(E124-H124)&lt;=0.0001*MAX(1,ABS(H124)),"✓ OK","✗ CHECK"),IF(E124=H124,"✓ OK","✗ CHECK"))</f>
        <v/>
      </c>
    </row>
    <row r="125">
      <c r="B125" s="61" t="inlineStr">
        <is>
          <t>0.9D+1.4Wp: Ux+Uy</t>
        </is>
      </c>
      <c r="C125" s="62" t="inlineStr">
        <is>
          <t>|Mfx|/Mrx± + |Mfy|/Mry</t>
        </is>
      </c>
      <c r="D125" s="62">
        <f>"Mfx="&amp;TEXT(((0.9*E105+0*E107+0*E109+1.4*E111+0*E113)*E73^2/8/1e6),"0.00")&amp;" kN·m; Mfy="&amp;TEXT(((0.9*E106+0*E108+0*E110+1.4*E112+0*E114)*E74^2/8/1e6),"0.000")&amp;" kN·m; Vf/Vr="&amp;TEXT(ABS(0.9*E105+0*E107+0*E109+1.4*E111+0*E113)*E73/2/1000/E101,"0.0000")&amp;""</f>
        <v/>
      </c>
      <c r="E125" s="74">
        <f>ABS(((0.9*E105+0*E107+0*E109+1.4*E111+0*E113)*E73^2/8/1e6))/IF(((0.9*E105+0*E107+0*E109+1.4*E111+0*E113)*E73^2/8/1e6)&gt;=0,E94,E97)+ABS(((0.9*E106+0*E108+0*E110+1.4*E112+0*E114)*E74^2/8/1e6))/E98</f>
        <v/>
      </c>
      <c r="F125" s="61" t="inlineStr">
        <is>
          <t>—</t>
        </is>
      </c>
      <c r="G125" s="64" t="inlineStr">
        <is>
          <t>Cl. 13.5(e)</t>
        </is>
      </c>
      <c r="H125" s="75">
        <f>Girt!J54</f>
        <v/>
      </c>
      <c r="I125" s="66">
        <f>IF(ISNUMBER(H125),IF(ABS(E125-H125)&lt;=0.0001*MAX(1,ABS(H125)),"✓ OK","✗ CHECK"),IF(E125=H125,"✓ OK","✗ CHECK"))</f>
        <v/>
      </c>
    </row>
    <row r="126">
      <c r="B126" s="61" t="inlineStr">
        <is>
          <t>GOVERNING ULS utilization</t>
        </is>
      </c>
      <c r="C126" s="62" t="inlineStr">
        <is>
          <t>max(Ux, Uy, Ux+Uy, Vf/Vr)</t>
        </is>
      </c>
      <c r="D126" s="62" t="inlineStr"/>
      <c r="E126" s="74">
        <f>MAX(E117,E118,E119,E120,E121,E122,E123,E124,E125)</f>
        <v/>
      </c>
      <c r="F126" s="61" t="inlineStr">
        <is>
          <t>—</t>
        </is>
      </c>
      <c r="G126" s="64" t="inlineStr">
        <is>
          <t>Cl. 13.5(e)</t>
        </is>
      </c>
      <c r="H126" s="75">
        <f>Girt!J55</f>
        <v/>
      </c>
      <c r="I126" s="66">
        <f>IF(ISNUMBER(H126),IF(ABS(E126-H126)&lt;=0.0001*MAX(1,ABS(H126)),"✓ OK","✗ CHECK"),IF(E126=H126,"✓ OK","✗ CHECK"))</f>
        <v/>
      </c>
    </row>
    <row r="127">
      <c r="B127" s="58" t="inlineStr">
        <is>
          <t>GIRT — Step 6: Serviceability (δ = 5wL⁴/384EI)</t>
        </is>
      </c>
      <c r="C127" s="59" t="n"/>
      <c r="D127" s="59" t="n"/>
      <c r="E127" s="59" t="n"/>
      <c r="F127" s="59" t="n"/>
      <c r="G127" s="59" t="n"/>
      <c r="H127" s="59" t="n"/>
      <c r="I127" s="59" t="n"/>
    </row>
    <row r="128">
      <c r="B128" s="60" t="inlineStr">
        <is>
          <t>Item</t>
        </is>
      </c>
      <c r="C128" s="60" t="inlineStr">
        <is>
          <t>Equation (symbolic)</t>
        </is>
      </c>
      <c r="D128" s="60" t="inlineStr">
        <is>
          <t>Substituted values</t>
        </is>
      </c>
      <c r="E128" s="60" t="inlineStr">
        <is>
          <t>Result</t>
        </is>
      </c>
      <c r="F128" s="60" t="inlineStr">
        <is>
          <t>Unit</t>
        </is>
      </c>
      <c r="G128" s="60" t="inlineStr">
        <is>
          <t>Clause</t>
        </is>
      </c>
      <c r="H128" s="60" t="inlineStr">
        <is>
          <t>Design-tab value</t>
        </is>
      </c>
      <c r="I128" s="60" t="inlineStr">
        <is>
          <t>Check</t>
        </is>
      </c>
    </row>
    <row r="129">
      <c r="B129" s="61" t="inlineStr">
        <is>
          <t>Strong-axis wind δ</t>
        </is>
      </c>
      <c r="C129" s="62" t="inlineStr">
        <is>
          <t>5·max(wWp,|wWu|)L⁴/384EIx</t>
        </is>
      </c>
      <c r="D129" s="62" t="inlineStr"/>
      <c r="E129" s="69">
        <f>5*MAX(E111,ABS(E113))*E73^4/(384*Input!$E$12*Input!$E$71)</f>
        <v/>
      </c>
      <c r="F129" s="61" t="inlineStr">
        <is>
          <t>mm</t>
        </is>
      </c>
      <c r="G129" s="64" t="inlineStr">
        <is>
          <t>SLS</t>
        </is>
      </c>
      <c r="H129" s="70">
        <f>Girt!C61</f>
        <v/>
      </c>
      <c r="I129" s="66">
        <f>IF(ISNUMBER(H129),IF(ABS(E129-H129)&lt;=0.0001*MAX(1,ABS(H129)),"✓ OK","✗ CHECK"),IF(E129=H129,"✓ OK","✗ CHECK"))</f>
        <v/>
      </c>
    </row>
    <row r="130">
      <c r="B130" s="61" t="inlineStr">
        <is>
          <t xml:space="preserve">  ratio δ / (L/lim)</t>
        </is>
      </c>
      <c r="C130" s="62" t="inlineStr"/>
      <c r="D130" s="62" t="inlineStr"/>
      <c r="E130" s="74">
        <f>E129/(E73/Input!$E$84)</f>
        <v/>
      </c>
      <c r="F130" s="61" t="inlineStr">
        <is>
          <t>—</t>
        </is>
      </c>
      <c r="G130" s="64" t="inlineStr">
        <is>
          <t>SLS</t>
        </is>
      </c>
      <c r="H130" s="75">
        <f>Girt!E61</f>
        <v/>
      </c>
      <c r="I130" s="66">
        <f>IF(ISNUMBER(H130),IF(ABS(E130-H130)&lt;=0.0001*MAX(1,ABS(H130)),"✓ OK","✗ CHECK"),IF(E130=H130,"✓ OK","✗ CHECK"))</f>
        <v/>
      </c>
    </row>
    <row r="131">
      <c r="B131" s="61" t="inlineStr">
        <is>
          <t>Weak-axis gravity δ</t>
        </is>
      </c>
      <c r="C131" s="62" t="inlineStr">
        <is>
          <t>5·|wyD|·Ly⁴/384EIy</t>
        </is>
      </c>
      <c r="D131" s="62" t="inlineStr"/>
      <c r="E131" s="69">
        <f>5*ABS(E106)*E74^4/(384*Input!$E$12*Input!$E$72)</f>
        <v/>
      </c>
      <c r="F131" s="61" t="inlineStr">
        <is>
          <t>mm</t>
        </is>
      </c>
      <c r="G131" s="64" t="inlineStr">
        <is>
          <t>SLS</t>
        </is>
      </c>
      <c r="H131" s="70">
        <f>Girt!C62</f>
        <v/>
      </c>
      <c r="I131" s="66">
        <f>IF(ISNUMBER(H131),IF(ABS(E131-H131)&lt;=0.0001*MAX(1,ABS(H131)),"✓ OK","✗ CHECK"),IF(E131=H131,"✓ OK","✗ CHECK"))</f>
        <v/>
      </c>
    </row>
    <row r="132">
      <c r="B132" s="61" t="inlineStr">
        <is>
          <t xml:space="preserve">  ratio δ / (Ly/lim)</t>
        </is>
      </c>
      <c r="C132" s="62" t="inlineStr"/>
      <c r="D132" s="62" t="inlineStr"/>
      <c r="E132" s="74">
        <f>E131/(E74/Input!$E$85)</f>
        <v/>
      </c>
      <c r="F132" s="61" t="inlineStr">
        <is>
          <t>—</t>
        </is>
      </c>
      <c r="G132" s="64" t="inlineStr">
        <is>
          <t>SLS</t>
        </is>
      </c>
      <c r="H132" s="75">
        <f>Girt!E62</f>
        <v/>
      </c>
      <c r="I132" s="66">
        <f>IF(ISNUMBER(H132),IF(ABS(E132-H132)&lt;=0.0001*MAX(1,ABS(H132)),"✓ OK","✗ CHECK"),IF(E132=H132,"✓ OK","✗ CHECK"))</f>
        <v/>
      </c>
    </row>
    <row r="133">
      <c r="B133" s="61" t="inlineStr">
        <is>
          <t>GOVERNING SLS ratio</t>
        </is>
      </c>
      <c r="C133" s="62" t="inlineStr">
        <is>
          <t>max</t>
        </is>
      </c>
      <c r="D133" s="62" t="inlineStr"/>
      <c r="E133" s="74">
        <f>MAX(E130,E132)</f>
        <v/>
      </c>
      <c r="F133" s="61" t="inlineStr">
        <is>
          <t>—</t>
        </is>
      </c>
      <c r="G133" s="64" t="inlineStr">
        <is>
          <t>SLS</t>
        </is>
      </c>
      <c r="H133" s="75">
        <f>Girt!E63</f>
        <v/>
      </c>
      <c r="I133" s="66">
        <f>IF(ISNUMBER(H133),IF(ABS(E133-H133)&lt;=0.0001*MAX(1,ABS(H133)),"✓ OK","✗ CHECK"),IF(E133=H133,"✓ OK","✗ CHECK"))</f>
        <v/>
      </c>
    </row>
    <row r="134">
      <c r="B134" s="61" t="inlineStr">
        <is>
          <t>VERDICT</t>
        </is>
      </c>
      <c r="C134" s="62" t="inlineStr">
        <is>
          <t>ULS ≤ 1, SLS ≤ 1, class ≤ 3</t>
        </is>
      </c>
      <c r="D134" s="62" t="inlineStr"/>
      <c r="E134" s="76">
        <f>IF(AND(E126&lt;=1,E133&lt;=1,E86&lt;=3),"PASS","REVIEW")</f>
        <v/>
      </c>
      <c r="F134" s="61" t="inlineStr">
        <is>
          <t>—</t>
        </is>
      </c>
      <c r="G134" s="64" t="inlineStr">
        <is>
          <t>—</t>
        </is>
      </c>
      <c r="H134" s="77">
        <f>Girt!C69</f>
        <v/>
      </c>
      <c r="I134" s="66">
        <f>IF(ISNUMBER(H134),IF(ABS(E134-H134)&lt;=0.0001*MAX(1,ABS(H134)),"✓ OK","✗ CHECK"),IF(E134=H134,"✓ OK","✗ CHECK"))</f>
        <v/>
      </c>
    </row>
    <row r="136">
      <c r="B136" s="78" t="inlineStr">
        <is>
          <t>VERIFICATION SUMMARY</t>
        </is>
      </c>
      <c r="D136" s="79">
        <f>COUNTIF(I4:I135,"✓ OK")&amp;" of "&amp;COUNTA(I4:I135)-COUNTIF(I4:I135,"Check")&amp;" checks agree with the design tabs"</f>
        <v/>
      </c>
    </row>
    <row r="137">
      <c r="B137" s="57" t="inlineStr">
        <is>
          <t>Sheet protected (read-only). Hand calc reproduces the CSA S16-19 workbook independently.</t>
        </is>
      </c>
    </row>
  </sheetData>
  <sheetProtection selectLockedCells="0" selectUnlockedCells="0" sheet="1" objects="1" insertRows="1" insertHyperlinks="1" autoFilter="1" scenarios="1" formatColumns="1" deleteColumns="1" insertColumns="1" pivotTables="1" deleteRows="1" formatCells="1" formatRows="1" sort="1" password="D3AF"/>
  <printOptions horizontalCentered="1"/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2026-08-01T15:44:51Z</dcterms:created>
  <dcterms:modified xmlns:dcterms="http://purl.org/dc/terms/" xmlns:xsi="http://www.w3.org/2001/XMLSchema-instance" xsi:type="dcterms:W3CDTF">2026-10-21T18:49:39Z</dcterms:modified>
  <cp:lastModifiedBy>Anmol Shanker Srivastava</cp:lastModifiedBy>
  <cp:revision>0</cp:revision>
</cp:coreProperties>
</file>